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comments5.xml" ContentType="application/vnd.openxmlformats-officedocument.spreadsheetml.comments+xml"/>
  <Override PartName="/xl/threadedComments/threadedComment2.xml" ContentType="application/vnd.ms-excel.threaded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JMay\Documents\Cooperative Agreement\IWR\FLTP\2022\"/>
    </mc:Choice>
  </mc:AlternateContent>
  <xr:revisionPtr revIDLastSave="0" documentId="8_{52362D64-86DD-490B-9C55-67D46C234DEE}" xr6:coauthVersionLast="47" xr6:coauthVersionMax="47" xr10:uidLastSave="{00000000-0000-0000-0000-000000000000}"/>
  <bookViews>
    <workbookView xWindow="-120" yWindow="-120" windowWidth="29040" windowHeight="15840" firstSheet="5" activeTab="7" xr2:uid="{00000000-000D-0000-FFFF-FFFF00000000}"/>
  </bookViews>
  <sheets>
    <sheet name="HIDE" sheetId="4" state="hidden" r:id="rId1"/>
    <sheet name="Gov Est-Working Copy" sheetId="1" r:id="rId2"/>
    <sheet name="Road Mileage Discrepancy" sheetId="10" state="hidden" r:id="rId3"/>
    <sheet name="Transport Only Time Estimate" sheetId="11" state="hidden" r:id="rId4"/>
    <sheet name="Transport_LimREC Time Estimator" sheetId="2" r:id="rId5"/>
    <sheet name="Travel Estimator" sheetId="3" r:id="rId6"/>
    <sheet name="District Data" sheetId="5" r:id="rId7"/>
    <sheet name="Final Mile_Lot Count" sheetId="9" r:id="rId8"/>
    <sheet name="Sheet2" sheetId="15" state="hidden" r:id="rId9"/>
    <sheet name="OCA Time Estimator" sheetId="6" state="hidden" r:id="rId10"/>
  </sheets>
  <definedNames>
    <definedName name="_xlnm._FilterDatabase" localSheetId="6" hidden="1">'District Data'!$B$1:$J$201</definedName>
    <definedName name="_xlnm.Print_Area" localSheetId="1">'Gov Est-Working Copy'!$A$1:$Z$47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9" l="1"/>
  <c r="F12" i="9"/>
  <c r="B33" i="1"/>
  <c r="B32" i="1"/>
  <c r="B30" i="1"/>
  <c r="Q17" i="1"/>
  <c r="R16" i="1"/>
  <c r="O17" i="1"/>
  <c r="P17" i="1"/>
  <c r="R17" i="1"/>
  <c r="S17" i="1"/>
  <c r="T17" i="1"/>
  <c r="U17" i="1"/>
  <c r="V17" i="1"/>
  <c r="N17" i="1"/>
  <c r="L16" i="1"/>
  <c r="L17" i="1" s="1"/>
  <c r="D28" i="3"/>
  <c r="G28" i="3"/>
  <c r="V25" i="1"/>
  <c r="V27" i="1" s="1"/>
  <c r="B20" i="3"/>
  <c r="W8" i="1"/>
  <c r="N25" i="1"/>
  <c r="O25" i="1"/>
  <c r="P25" i="1"/>
  <c r="Q25" i="1"/>
  <c r="R25" i="1"/>
  <c r="S25" i="1"/>
  <c r="T25" i="1"/>
  <c r="U25" i="1"/>
  <c r="N8" i="9" l="1"/>
  <c r="Q16" i="1"/>
  <c r="P16" i="1"/>
  <c r="P13" i="1"/>
  <c r="T14" i="1"/>
  <c r="Z21" i="1"/>
  <c r="Z23" i="1"/>
  <c r="U12" i="1"/>
  <c r="S13" i="1"/>
  <c r="S11" i="1"/>
  <c r="B47" i="15"/>
  <c r="E43" i="15"/>
  <c r="L40" i="15"/>
  <c r="J40" i="15"/>
  <c r="I40" i="15"/>
  <c r="E40" i="15"/>
  <c r="C40" i="15"/>
  <c r="B40" i="15"/>
  <c r="K39" i="15"/>
  <c r="N39" i="15" s="1"/>
  <c r="G39" i="15"/>
  <c r="K38" i="15"/>
  <c r="M38" i="15" s="1"/>
  <c r="G38" i="15"/>
  <c r="N37" i="15"/>
  <c r="K37" i="15"/>
  <c r="M37" i="15" s="1"/>
  <c r="G37" i="15"/>
  <c r="N36" i="15"/>
  <c r="K36" i="15"/>
  <c r="M36" i="15" s="1"/>
  <c r="G36" i="15"/>
  <c r="K35" i="15"/>
  <c r="M35" i="15" s="1"/>
  <c r="G35" i="15"/>
  <c r="K34" i="15"/>
  <c r="M34" i="15" s="1"/>
  <c r="G34" i="15"/>
  <c r="M33" i="15"/>
  <c r="K33" i="15"/>
  <c r="G33" i="15"/>
  <c r="M32" i="15"/>
  <c r="K32" i="15"/>
  <c r="G32" i="15"/>
  <c r="M31" i="15"/>
  <c r="K31" i="15"/>
  <c r="G31" i="15"/>
  <c r="K30" i="15"/>
  <c r="M30" i="15" s="1"/>
  <c r="G30" i="15"/>
  <c r="K29" i="15"/>
  <c r="M29" i="15" s="1"/>
  <c r="G29" i="15"/>
  <c r="N28" i="15"/>
  <c r="M28" i="15"/>
  <c r="K28" i="15"/>
  <c r="G28" i="15"/>
  <c r="M27" i="15"/>
  <c r="K27" i="15"/>
  <c r="G27" i="15"/>
  <c r="M26" i="15"/>
  <c r="K26" i="15"/>
  <c r="G26" i="15"/>
  <c r="K25" i="15"/>
  <c r="M25" i="15" s="1"/>
  <c r="G25" i="15"/>
  <c r="P24" i="15"/>
  <c r="K24" i="15"/>
  <c r="M24" i="15" s="1"/>
  <c r="G24" i="15"/>
  <c r="M23" i="15"/>
  <c r="K23" i="15"/>
  <c r="G23" i="15"/>
  <c r="N22" i="15"/>
  <c r="K22" i="15"/>
  <c r="M22" i="15" s="1"/>
  <c r="G22" i="15"/>
  <c r="K21" i="15"/>
  <c r="N21" i="15" s="1"/>
  <c r="G21" i="15"/>
  <c r="K20" i="15"/>
  <c r="M20" i="15" s="1"/>
  <c r="G20" i="15"/>
  <c r="K19" i="15"/>
  <c r="M19" i="15" s="1"/>
  <c r="G19" i="15"/>
  <c r="K18" i="15"/>
  <c r="M18" i="15" s="1"/>
  <c r="G18" i="15"/>
  <c r="K17" i="15"/>
  <c r="M17" i="15" s="1"/>
  <c r="G17" i="15"/>
  <c r="K16" i="15"/>
  <c r="M16" i="15" s="1"/>
  <c r="G16" i="15"/>
  <c r="K15" i="15"/>
  <c r="M15" i="15" s="1"/>
  <c r="G15" i="15"/>
  <c r="K14" i="15"/>
  <c r="M14" i="15" s="1"/>
  <c r="G14" i="15"/>
  <c r="M13" i="15"/>
  <c r="K13" i="15"/>
  <c r="G13" i="15"/>
  <c r="M12" i="15"/>
  <c r="K12" i="15"/>
  <c r="G12" i="15"/>
  <c r="M11" i="15"/>
  <c r="K11" i="15"/>
  <c r="G11" i="15"/>
  <c r="K10" i="15"/>
  <c r="M10" i="15" s="1"/>
  <c r="G10" i="15"/>
  <c r="M9" i="15"/>
  <c r="K9" i="15"/>
  <c r="G9" i="15"/>
  <c r="K8" i="15"/>
  <c r="M8" i="15" s="1"/>
  <c r="G8" i="15"/>
  <c r="M7" i="15"/>
  <c r="K7" i="15"/>
  <c r="G7" i="15"/>
  <c r="K6" i="15"/>
  <c r="K40" i="15" s="1"/>
  <c r="G6" i="15"/>
  <c r="M21" i="15" l="1"/>
  <c r="M39" i="15"/>
  <c r="M6" i="15"/>
  <c r="M40" i="15" s="1"/>
  <c r="B18" i="11" l="1"/>
  <c r="B12" i="11" l="1"/>
  <c r="B13" i="11" s="1"/>
  <c r="B7" i="11"/>
  <c r="B6" i="11"/>
  <c r="B5" i="11"/>
  <c r="G196" i="5"/>
  <c r="H196" i="5"/>
  <c r="F196" i="5"/>
  <c r="G190" i="5"/>
  <c r="H190" i="5"/>
  <c r="F190" i="5"/>
  <c r="G177" i="5"/>
  <c r="H177" i="5"/>
  <c r="F177" i="5"/>
  <c r="G172" i="5"/>
  <c r="H172" i="5"/>
  <c r="F172" i="5"/>
  <c r="G167" i="5"/>
  <c r="H167" i="5"/>
  <c r="F167" i="5"/>
  <c r="G163" i="5"/>
  <c r="H163" i="5"/>
  <c r="F163" i="5"/>
  <c r="G143" i="5"/>
  <c r="H143" i="5"/>
  <c r="F143" i="5"/>
  <c r="F102" i="5"/>
  <c r="G102" i="5"/>
  <c r="H102" i="5"/>
  <c r="G66" i="5"/>
  <c r="H66" i="5"/>
  <c r="F66" i="5"/>
  <c r="G62" i="5"/>
  <c r="H62" i="5"/>
  <c r="F62" i="5"/>
  <c r="G57" i="5"/>
  <c r="H57" i="5"/>
  <c r="F57" i="5"/>
  <c r="G54" i="5"/>
  <c r="H54" i="5"/>
  <c r="F54" i="5"/>
  <c r="F35" i="5"/>
  <c r="F44" i="5"/>
  <c r="G44" i="5"/>
  <c r="H44" i="5"/>
  <c r="G46" i="5"/>
  <c r="H46" i="5"/>
  <c r="F46" i="5"/>
  <c r="F29" i="5"/>
  <c r="G35" i="5"/>
  <c r="H35" i="5"/>
  <c r="G29" i="5"/>
  <c r="H29" i="5"/>
  <c r="G19" i="5" l="1"/>
  <c r="G201" i="5" s="1"/>
  <c r="H19" i="5"/>
  <c r="H201" i="5" s="1"/>
  <c r="F19" i="5"/>
  <c r="F201" i="5" s="1"/>
  <c r="U28" i="2" l="1"/>
  <c r="U31" i="2"/>
  <c r="K31" i="2"/>
  <c r="K28" i="2"/>
  <c r="K21" i="11"/>
  <c r="U21" i="11"/>
  <c r="U24" i="11"/>
  <c r="K24" i="11"/>
  <c r="T12" i="11"/>
  <c r="S12" i="11"/>
  <c r="S13" i="11" s="1"/>
  <c r="R12" i="11"/>
  <c r="R13" i="11" s="1"/>
  <c r="Q12" i="11"/>
  <c r="Q13" i="11" s="1"/>
  <c r="P12" i="11"/>
  <c r="P13" i="11" s="1"/>
  <c r="O12" i="11"/>
  <c r="O13" i="11" s="1"/>
  <c r="N12" i="11"/>
  <c r="N13" i="11" s="1"/>
  <c r="M12" i="11"/>
  <c r="M13" i="11" s="1"/>
  <c r="L12" i="11"/>
  <c r="J12" i="11"/>
  <c r="J13" i="11" s="1"/>
  <c r="I12" i="11"/>
  <c r="I13" i="11" s="1"/>
  <c r="H12" i="11"/>
  <c r="H13" i="11" s="1"/>
  <c r="G12" i="11"/>
  <c r="G13" i="11" s="1"/>
  <c r="F12" i="11"/>
  <c r="F13" i="11" s="1"/>
  <c r="E12" i="11"/>
  <c r="E13" i="11" s="1"/>
  <c r="D12" i="11"/>
  <c r="D13" i="11" s="1"/>
  <c r="C12" i="11"/>
  <c r="T5" i="11"/>
  <c r="T6" i="11" s="1"/>
  <c r="S5" i="11"/>
  <c r="R5" i="11"/>
  <c r="R6" i="11" s="1"/>
  <c r="Q5" i="11"/>
  <c r="Q6" i="11" s="1"/>
  <c r="P5" i="11"/>
  <c r="P6" i="11" s="1"/>
  <c r="O5" i="11"/>
  <c r="O6" i="11" s="1"/>
  <c r="N5" i="11"/>
  <c r="M5" i="11"/>
  <c r="M6" i="11" s="1"/>
  <c r="L5" i="11"/>
  <c r="L6" i="11" s="1"/>
  <c r="J5" i="11"/>
  <c r="J6" i="11" s="1"/>
  <c r="I5" i="11"/>
  <c r="I6" i="11" s="1"/>
  <c r="H5" i="11"/>
  <c r="H6" i="11" s="1"/>
  <c r="G5" i="11"/>
  <c r="G6" i="11" s="1"/>
  <c r="F5" i="11"/>
  <c r="E5" i="11"/>
  <c r="D5" i="11"/>
  <c r="D6" i="11" s="1"/>
  <c r="C5" i="11"/>
  <c r="C6" i="11" s="1"/>
  <c r="B47" i="10"/>
  <c r="E43" i="10"/>
  <c r="L40" i="10"/>
  <c r="J40" i="10"/>
  <c r="I40" i="10"/>
  <c r="E40" i="10"/>
  <c r="C40" i="10"/>
  <c r="B40" i="10"/>
  <c r="N39" i="10"/>
  <c r="M39" i="10"/>
  <c r="K39" i="10"/>
  <c r="G39" i="10"/>
  <c r="K38" i="10"/>
  <c r="M38" i="10" s="1"/>
  <c r="G38" i="10"/>
  <c r="K37" i="10"/>
  <c r="M37" i="10" s="1"/>
  <c r="G37" i="10"/>
  <c r="K36" i="10"/>
  <c r="M36" i="10" s="1"/>
  <c r="G36" i="10"/>
  <c r="K35" i="10"/>
  <c r="M35" i="10" s="1"/>
  <c r="G35" i="10"/>
  <c r="M34" i="10"/>
  <c r="K34" i="10"/>
  <c r="G34" i="10"/>
  <c r="M33" i="10"/>
  <c r="K33" i="10"/>
  <c r="G33" i="10"/>
  <c r="K32" i="10"/>
  <c r="M32" i="10" s="1"/>
  <c r="G32" i="10"/>
  <c r="K31" i="10"/>
  <c r="M31" i="10" s="1"/>
  <c r="G31" i="10"/>
  <c r="M30" i="10"/>
  <c r="K30" i="10"/>
  <c r="G30" i="10"/>
  <c r="M29" i="10"/>
  <c r="K29" i="10"/>
  <c r="G29" i="10"/>
  <c r="N28" i="10"/>
  <c r="M28" i="10"/>
  <c r="K28" i="10"/>
  <c r="G28" i="10"/>
  <c r="K27" i="10"/>
  <c r="M27" i="10" s="1"/>
  <c r="G27" i="10"/>
  <c r="K26" i="10"/>
  <c r="M26" i="10" s="1"/>
  <c r="G26" i="10"/>
  <c r="M25" i="10"/>
  <c r="K25" i="10"/>
  <c r="G25" i="10"/>
  <c r="P24" i="10"/>
  <c r="K24" i="10"/>
  <c r="M24" i="10" s="1"/>
  <c r="G24" i="10"/>
  <c r="M23" i="10"/>
  <c r="K23" i="10"/>
  <c r="G23" i="10"/>
  <c r="N22" i="10"/>
  <c r="M22" i="10"/>
  <c r="K22" i="10"/>
  <c r="G22" i="10"/>
  <c r="N21" i="10"/>
  <c r="M21" i="10"/>
  <c r="K21" i="10"/>
  <c r="G21" i="10"/>
  <c r="K20" i="10"/>
  <c r="M20" i="10" s="1"/>
  <c r="G20" i="10"/>
  <c r="K19" i="10"/>
  <c r="M19" i="10" s="1"/>
  <c r="G19" i="10"/>
  <c r="K18" i="10"/>
  <c r="M18" i="10" s="1"/>
  <c r="G18" i="10"/>
  <c r="M17" i="10"/>
  <c r="K17" i="10"/>
  <c r="G17" i="10"/>
  <c r="K16" i="10"/>
  <c r="M16" i="10" s="1"/>
  <c r="G16" i="10"/>
  <c r="K15" i="10"/>
  <c r="M15" i="10" s="1"/>
  <c r="G15" i="10"/>
  <c r="K14" i="10"/>
  <c r="M14" i="10" s="1"/>
  <c r="G14" i="10"/>
  <c r="M13" i="10"/>
  <c r="K13" i="10"/>
  <c r="G13" i="10"/>
  <c r="K12" i="10"/>
  <c r="M12" i="10" s="1"/>
  <c r="G12" i="10"/>
  <c r="K11" i="10"/>
  <c r="M11" i="10" s="1"/>
  <c r="G11" i="10"/>
  <c r="K10" i="10"/>
  <c r="M10" i="10" s="1"/>
  <c r="G10" i="10"/>
  <c r="M9" i="10"/>
  <c r="K9" i="10"/>
  <c r="G9" i="10"/>
  <c r="K8" i="10"/>
  <c r="M8" i="10" s="1"/>
  <c r="G8" i="10"/>
  <c r="K7" i="10"/>
  <c r="M7" i="10" s="1"/>
  <c r="G7" i="10"/>
  <c r="K6" i="10"/>
  <c r="K40" i="10" s="1"/>
  <c r="G6" i="10"/>
  <c r="H22" i="9"/>
  <c r="G22" i="9"/>
  <c r="E22" i="9"/>
  <c r="D22" i="9"/>
  <c r="C22" i="9"/>
  <c r="I21" i="9"/>
  <c r="N20" i="9"/>
  <c r="I20" i="9"/>
  <c r="I19" i="9"/>
  <c r="N18" i="9"/>
  <c r="I18" i="9"/>
  <c r="I8" i="9"/>
  <c r="N17" i="9"/>
  <c r="I17" i="9"/>
  <c r="N16" i="9"/>
  <c r="I16" i="9"/>
  <c r="N15" i="9"/>
  <c r="I15" i="9"/>
  <c r="N14" i="9"/>
  <c r="I14" i="9"/>
  <c r="N13" i="9"/>
  <c r="I13" i="9"/>
  <c r="H12" i="9"/>
  <c r="G12" i="9"/>
  <c r="E12" i="9"/>
  <c r="D12" i="9"/>
  <c r="C12" i="9"/>
  <c r="N10" i="9"/>
  <c r="I10" i="9"/>
  <c r="N9" i="9"/>
  <c r="I9" i="9"/>
  <c r="N7" i="9"/>
  <c r="I7" i="9"/>
  <c r="N6" i="9"/>
  <c r="I6" i="9"/>
  <c r="L5" i="9"/>
  <c r="N5" i="9" s="1"/>
  <c r="I5" i="9"/>
  <c r="N4" i="9"/>
  <c r="I4" i="9"/>
  <c r="N3" i="9"/>
  <c r="I3" i="9"/>
  <c r="N11" i="9"/>
  <c r="I11" i="9"/>
  <c r="I22" i="9" l="1"/>
  <c r="I12" i="9"/>
  <c r="M7" i="11"/>
  <c r="I14" i="11"/>
  <c r="I18" i="11" s="1"/>
  <c r="S6" i="11"/>
  <c r="S7" i="11" s="1"/>
  <c r="T14" i="11"/>
  <c r="T18" i="11" s="1"/>
  <c r="N14" i="11"/>
  <c r="N18" i="11" s="1"/>
  <c r="F6" i="11"/>
  <c r="F7" i="11" s="1"/>
  <c r="E6" i="11"/>
  <c r="E7" i="11" s="1"/>
  <c r="N6" i="11"/>
  <c r="N7" i="11" s="1"/>
  <c r="D7" i="11"/>
  <c r="D14" i="11"/>
  <c r="D18" i="11" s="1"/>
  <c r="M14" i="11"/>
  <c r="C13" i="11"/>
  <c r="C14" i="11" s="1"/>
  <c r="C18" i="11" s="1"/>
  <c r="L13" i="11"/>
  <c r="L14" i="11" s="1"/>
  <c r="L18" i="11" s="1"/>
  <c r="T13" i="11"/>
  <c r="R14" i="11"/>
  <c r="R18" i="11" s="1"/>
  <c r="J7" i="11"/>
  <c r="E14" i="11"/>
  <c r="E18" i="11" s="1"/>
  <c r="O7" i="11"/>
  <c r="G7" i="11"/>
  <c r="P7" i="11"/>
  <c r="G14" i="11"/>
  <c r="G18" i="11" s="1"/>
  <c r="P14" i="11"/>
  <c r="P18" i="11" s="1"/>
  <c r="H7" i="11"/>
  <c r="Q7" i="11"/>
  <c r="H14" i="11"/>
  <c r="H18" i="11" s="1"/>
  <c r="Q14" i="11"/>
  <c r="Q18" i="11" s="1"/>
  <c r="F14" i="11"/>
  <c r="F18" i="11" s="1"/>
  <c r="O14" i="11"/>
  <c r="O18" i="11" s="1"/>
  <c r="I7" i="11"/>
  <c r="R7" i="11"/>
  <c r="C7" i="11"/>
  <c r="L7" i="11"/>
  <c r="T7" i="11"/>
  <c r="B14" i="11"/>
  <c r="J14" i="11"/>
  <c r="J18" i="11" s="1"/>
  <c r="S14" i="11"/>
  <c r="S18" i="11" s="1"/>
  <c r="N36" i="10"/>
  <c r="N37" i="10"/>
  <c r="M6" i="10"/>
  <c r="M40" i="10" s="1"/>
  <c r="B31" i="1"/>
  <c r="M18" i="11" l="1"/>
  <c r="M19" i="11" s="1"/>
  <c r="K18" i="11"/>
  <c r="U18" i="11"/>
  <c r="G19" i="11"/>
  <c r="L23" i="11"/>
  <c r="M23" i="11"/>
  <c r="M25" i="11" s="1"/>
  <c r="M28" i="11" s="1"/>
  <c r="T19" i="11"/>
  <c r="L19" i="11"/>
  <c r="N23" i="11"/>
  <c r="N25" i="11" s="1"/>
  <c r="N19" i="11"/>
  <c r="F19" i="11"/>
  <c r="F23" i="11"/>
  <c r="F25" i="11" s="1"/>
  <c r="J19" i="11"/>
  <c r="J23" i="11"/>
  <c r="J25" i="11" s="1"/>
  <c r="J28" i="11" s="1"/>
  <c r="G23" i="11"/>
  <c r="G25" i="11" s="1"/>
  <c r="E23" i="11"/>
  <c r="E25" i="11" s="1"/>
  <c r="E19" i="11"/>
  <c r="C19" i="11"/>
  <c r="C23" i="11"/>
  <c r="C25" i="11" s="1"/>
  <c r="B39" i="6"/>
  <c r="B42" i="6"/>
  <c r="U39" i="6"/>
  <c r="U40" i="6"/>
  <c r="C43" i="6"/>
  <c r="B43" i="6"/>
  <c r="U42" i="6"/>
  <c r="U41" i="6"/>
  <c r="D43" i="6"/>
  <c r="E43" i="6"/>
  <c r="F43" i="6"/>
  <c r="G43" i="6"/>
  <c r="H43" i="6"/>
  <c r="I43" i="6"/>
  <c r="J43" i="6"/>
  <c r="K43" i="6"/>
  <c r="L43" i="6"/>
  <c r="M43" i="6"/>
  <c r="N43" i="6"/>
  <c r="O43" i="6"/>
  <c r="P43" i="6"/>
  <c r="Q43" i="6"/>
  <c r="R43" i="6"/>
  <c r="S43" i="6"/>
  <c r="T43" i="6"/>
  <c r="U43" i="6"/>
  <c r="B30" i="6"/>
  <c r="V16" i="1"/>
  <c r="U16" i="1"/>
  <c r="T16" i="1"/>
  <c r="S16" i="1"/>
  <c r="O16" i="1"/>
  <c r="N16" i="1"/>
  <c r="K16" i="1"/>
  <c r="K17" i="1" s="1"/>
  <c r="J16" i="1"/>
  <c r="J17" i="1" s="1"/>
  <c r="I16" i="1"/>
  <c r="I17" i="1" s="1"/>
  <c r="H16" i="1"/>
  <c r="H17" i="1" s="1"/>
  <c r="G16" i="1"/>
  <c r="G17" i="1" s="1"/>
  <c r="F16" i="1"/>
  <c r="F17" i="1" s="1"/>
  <c r="E16" i="1"/>
  <c r="E17" i="1" s="1"/>
  <c r="D16" i="1"/>
  <c r="D17" i="1" s="1"/>
  <c r="V15" i="1"/>
  <c r="U15" i="1"/>
  <c r="T15" i="1"/>
  <c r="S15" i="1"/>
  <c r="R15" i="1"/>
  <c r="Q15" i="1"/>
  <c r="P15" i="1"/>
  <c r="O15" i="1"/>
  <c r="N15" i="1"/>
  <c r="K15" i="1"/>
  <c r="J15" i="1"/>
  <c r="I15" i="1"/>
  <c r="H15" i="1"/>
  <c r="G15" i="1"/>
  <c r="F15" i="1"/>
  <c r="E15" i="1"/>
  <c r="D15" i="1"/>
  <c r="W15" i="1" s="1"/>
  <c r="Z15" i="1" s="1"/>
  <c r="L15" i="1"/>
  <c r="C15" i="1"/>
  <c r="V14" i="1"/>
  <c r="U14" i="1"/>
  <c r="S14" i="1"/>
  <c r="R14" i="1"/>
  <c r="Q14" i="1"/>
  <c r="P14" i="1"/>
  <c r="O14" i="1"/>
  <c r="N14" i="1"/>
  <c r="K14" i="1"/>
  <c r="J14" i="1"/>
  <c r="I14" i="1"/>
  <c r="H14" i="1"/>
  <c r="G14" i="1"/>
  <c r="F14" i="1"/>
  <c r="E14" i="1"/>
  <c r="D14" i="1"/>
  <c r="L14" i="1"/>
  <c r="C14" i="1"/>
  <c r="V13" i="1"/>
  <c r="U13" i="1"/>
  <c r="T13" i="1"/>
  <c r="R13" i="1"/>
  <c r="Q13" i="1"/>
  <c r="O13" i="1"/>
  <c r="N13" i="1"/>
  <c r="K13" i="1"/>
  <c r="J13" i="1"/>
  <c r="I13" i="1"/>
  <c r="H13" i="1"/>
  <c r="G13" i="1"/>
  <c r="F13" i="1"/>
  <c r="E13" i="1"/>
  <c r="D13" i="1"/>
  <c r="L13" i="1"/>
  <c r="C13" i="1"/>
  <c r="V12" i="1"/>
  <c r="T12" i="1"/>
  <c r="S12" i="1"/>
  <c r="R12" i="1"/>
  <c r="Q12" i="1"/>
  <c r="P12" i="1"/>
  <c r="O12" i="1"/>
  <c r="N12" i="1"/>
  <c r="K12" i="1"/>
  <c r="J12" i="1"/>
  <c r="I12" i="1"/>
  <c r="H12" i="1"/>
  <c r="G12" i="1"/>
  <c r="F12" i="1"/>
  <c r="E12" i="1"/>
  <c r="D12" i="1"/>
  <c r="L12" i="1"/>
  <c r="C12" i="1"/>
  <c r="V11" i="1"/>
  <c r="U11" i="1"/>
  <c r="T11" i="1"/>
  <c r="T19" i="1" s="1"/>
  <c r="R11" i="1"/>
  <c r="Q11" i="1"/>
  <c r="P11" i="1"/>
  <c r="O11" i="1"/>
  <c r="N11" i="1"/>
  <c r="K11" i="1"/>
  <c r="K25" i="1" s="1"/>
  <c r="J11" i="1"/>
  <c r="I11" i="1"/>
  <c r="H11" i="1"/>
  <c r="G11" i="1"/>
  <c r="G25" i="1" s="1"/>
  <c r="F11" i="1"/>
  <c r="E11" i="1"/>
  <c r="D11" i="1"/>
  <c r="L11" i="1"/>
  <c r="L25" i="1" s="1"/>
  <c r="C11" i="1"/>
  <c r="C25" i="1" s="1"/>
  <c r="B40" i="6"/>
  <c r="B41" i="6" s="1"/>
  <c r="C39" i="6"/>
  <c r="D39" i="6"/>
  <c r="E39" i="6"/>
  <c r="F39" i="6"/>
  <c r="G39" i="6"/>
  <c r="H39" i="6"/>
  <c r="I39" i="6"/>
  <c r="J39" i="6"/>
  <c r="L39" i="6"/>
  <c r="M39" i="6"/>
  <c r="N39" i="6"/>
  <c r="O39" i="6"/>
  <c r="P39" i="6"/>
  <c r="Q39" i="6"/>
  <c r="R39" i="6"/>
  <c r="S39" i="6"/>
  <c r="T39" i="6"/>
  <c r="F30" i="6"/>
  <c r="C30" i="6"/>
  <c r="D30" i="6"/>
  <c r="E30" i="6"/>
  <c r="G30" i="6"/>
  <c r="H30" i="6"/>
  <c r="I30" i="6"/>
  <c r="J30" i="6"/>
  <c r="L30" i="6"/>
  <c r="M30" i="6"/>
  <c r="N30" i="6"/>
  <c r="O30" i="6"/>
  <c r="P30" i="6"/>
  <c r="Q30" i="6"/>
  <c r="R30" i="6"/>
  <c r="S30" i="6"/>
  <c r="T30" i="6"/>
  <c r="I27" i="6"/>
  <c r="T26" i="6"/>
  <c r="T27" i="6" s="1"/>
  <c r="S26" i="6"/>
  <c r="R26" i="6"/>
  <c r="R27" i="6" s="1"/>
  <c r="Q26" i="6"/>
  <c r="Q27" i="6" s="1"/>
  <c r="P26" i="6"/>
  <c r="P27" i="6" s="1"/>
  <c r="O26" i="6"/>
  <c r="O27" i="6" s="1"/>
  <c r="N26" i="6"/>
  <c r="M26" i="6"/>
  <c r="M27" i="6" s="1"/>
  <c r="L26" i="6"/>
  <c r="L27" i="6" s="1"/>
  <c r="J26" i="6"/>
  <c r="I26" i="6"/>
  <c r="H26" i="6"/>
  <c r="H27" i="6" s="1"/>
  <c r="G26" i="6"/>
  <c r="G27" i="6" s="1"/>
  <c r="F26" i="6"/>
  <c r="E26" i="6"/>
  <c r="D26" i="6"/>
  <c r="D27" i="6" s="1"/>
  <c r="C26" i="6"/>
  <c r="C27" i="6" s="1"/>
  <c r="B26" i="6"/>
  <c r="T20" i="6"/>
  <c r="T21" i="6" s="1"/>
  <c r="T19" i="6"/>
  <c r="S19" i="6"/>
  <c r="S20" i="6" s="1"/>
  <c r="S21" i="6" s="1"/>
  <c r="R19" i="6"/>
  <c r="R20" i="6" s="1"/>
  <c r="R21" i="6" s="1"/>
  <c r="Q19" i="6"/>
  <c r="Q20" i="6" s="1"/>
  <c r="Q21" i="6" s="1"/>
  <c r="P19" i="6"/>
  <c r="P20" i="6" s="1"/>
  <c r="P21" i="6" s="1"/>
  <c r="O19" i="6"/>
  <c r="O20" i="6" s="1"/>
  <c r="O21" i="6" s="1"/>
  <c r="N19" i="6"/>
  <c r="N20" i="6" s="1"/>
  <c r="N21" i="6" s="1"/>
  <c r="M19" i="6"/>
  <c r="M20" i="6" s="1"/>
  <c r="M21" i="6" s="1"/>
  <c r="L19" i="6"/>
  <c r="L20" i="6" s="1"/>
  <c r="L21" i="6" s="1"/>
  <c r="J19" i="6"/>
  <c r="J20" i="6" s="1"/>
  <c r="J21" i="6" s="1"/>
  <c r="I19" i="6"/>
  <c r="I20" i="6" s="1"/>
  <c r="I21" i="6" s="1"/>
  <c r="H19" i="6"/>
  <c r="H20" i="6" s="1"/>
  <c r="H21" i="6" s="1"/>
  <c r="G19" i="6"/>
  <c r="G20" i="6" s="1"/>
  <c r="G21" i="6" s="1"/>
  <c r="F19" i="6"/>
  <c r="F20" i="6" s="1"/>
  <c r="F21" i="6" s="1"/>
  <c r="E19" i="6"/>
  <c r="E20" i="6" s="1"/>
  <c r="E21" i="6" s="1"/>
  <c r="D19" i="6"/>
  <c r="D20" i="6" s="1"/>
  <c r="D21" i="6" s="1"/>
  <c r="C19" i="6"/>
  <c r="C20" i="6" s="1"/>
  <c r="C21" i="6" s="1"/>
  <c r="B19" i="6"/>
  <c r="B20" i="6" s="1"/>
  <c r="B21" i="6" s="1"/>
  <c r="J13" i="6"/>
  <c r="T12" i="6"/>
  <c r="T13" i="6" s="1"/>
  <c r="S12" i="6"/>
  <c r="S13" i="6" s="1"/>
  <c r="R12" i="6"/>
  <c r="Q12" i="6"/>
  <c r="Q13" i="6" s="1"/>
  <c r="P12" i="6"/>
  <c r="P13" i="6" s="1"/>
  <c r="O12" i="6"/>
  <c r="N12" i="6"/>
  <c r="N13" i="6" s="1"/>
  <c r="M12" i="6"/>
  <c r="M13" i="6" s="1"/>
  <c r="L12" i="6"/>
  <c r="L13" i="6" s="1"/>
  <c r="J12" i="6"/>
  <c r="I12" i="6"/>
  <c r="H12" i="6"/>
  <c r="H13" i="6" s="1"/>
  <c r="G12" i="6"/>
  <c r="G13" i="6" s="1"/>
  <c r="F12" i="6"/>
  <c r="E12" i="6"/>
  <c r="D12" i="6"/>
  <c r="D13" i="6" s="1"/>
  <c r="C12" i="6"/>
  <c r="C13" i="6" s="1"/>
  <c r="B12" i="6"/>
  <c r="B13" i="6" s="1"/>
  <c r="Q6" i="6"/>
  <c r="T5" i="6"/>
  <c r="T6" i="6" s="1"/>
  <c r="S5" i="6"/>
  <c r="S6" i="6" s="1"/>
  <c r="R5" i="6"/>
  <c r="R6" i="6" s="1"/>
  <c r="Q5" i="6"/>
  <c r="P5" i="6"/>
  <c r="P6" i="6" s="1"/>
  <c r="O5" i="6"/>
  <c r="O6" i="6" s="1"/>
  <c r="N5" i="6"/>
  <c r="N6" i="6" s="1"/>
  <c r="M5" i="6"/>
  <c r="M6" i="6" s="1"/>
  <c r="L5" i="6"/>
  <c r="L6" i="6" s="1"/>
  <c r="J5" i="6"/>
  <c r="J6" i="6" s="1"/>
  <c r="I5" i="6"/>
  <c r="I6" i="6" s="1"/>
  <c r="H5" i="6"/>
  <c r="H6" i="6" s="1"/>
  <c r="G5" i="6"/>
  <c r="G6" i="6" s="1"/>
  <c r="F5" i="6"/>
  <c r="F6" i="6" s="1"/>
  <c r="E5" i="6"/>
  <c r="E6" i="6" s="1"/>
  <c r="D5" i="6"/>
  <c r="D6" i="6" s="1"/>
  <c r="C5" i="6"/>
  <c r="C6" i="6" s="1"/>
  <c r="B5" i="6"/>
  <c r="B6" i="6" s="1"/>
  <c r="E27" i="3"/>
  <c r="C18" i="3"/>
  <c r="D18" i="3"/>
  <c r="E18" i="3"/>
  <c r="F18" i="3"/>
  <c r="G18" i="3"/>
  <c r="H18" i="3"/>
  <c r="I18" i="3"/>
  <c r="J18" i="3"/>
  <c r="L18" i="3"/>
  <c r="M18" i="3"/>
  <c r="N18" i="3"/>
  <c r="O18" i="3"/>
  <c r="P18" i="3"/>
  <c r="Q18" i="3"/>
  <c r="R18" i="3"/>
  <c r="S18" i="3"/>
  <c r="T18" i="3"/>
  <c r="B18" i="3"/>
  <c r="C14" i="3"/>
  <c r="D14" i="3"/>
  <c r="E14" i="3"/>
  <c r="F14" i="3"/>
  <c r="G14" i="3"/>
  <c r="H14" i="3"/>
  <c r="I14" i="3"/>
  <c r="J14" i="3"/>
  <c r="L14" i="3"/>
  <c r="M14" i="3"/>
  <c r="N14" i="3"/>
  <c r="O14" i="3"/>
  <c r="P14" i="3"/>
  <c r="Q14" i="3"/>
  <c r="R14" i="3"/>
  <c r="S14" i="3"/>
  <c r="T14" i="3"/>
  <c r="B14" i="3"/>
  <c r="C10" i="3"/>
  <c r="D10" i="3"/>
  <c r="E10" i="3"/>
  <c r="F10" i="3"/>
  <c r="G10" i="3"/>
  <c r="H10" i="3"/>
  <c r="I10" i="3"/>
  <c r="J10" i="3"/>
  <c r="L10" i="3"/>
  <c r="M10" i="3"/>
  <c r="N10" i="3"/>
  <c r="O10" i="3"/>
  <c r="P10" i="3"/>
  <c r="Q10" i="3"/>
  <c r="R10" i="3"/>
  <c r="S10" i="3"/>
  <c r="T10" i="3"/>
  <c r="B10" i="3"/>
  <c r="B6" i="3"/>
  <c r="L6" i="3"/>
  <c r="D6" i="3"/>
  <c r="C6" i="3"/>
  <c r="E6" i="3"/>
  <c r="F6" i="3"/>
  <c r="G6" i="3"/>
  <c r="H6" i="3"/>
  <c r="I6" i="3"/>
  <c r="J6" i="3"/>
  <c r="M6" i="3"/>
  <c r="N6" i="3"/>
  <c r="O6" i="3"/>
  <c r="P6" i="3"/>
  <c r="Q6" i="3"/>
  <c r="R6" i="3"/>
  <c r="S6" i="3"/>
  <c r="T6" i="3"/>
  <c r="I200" i="5"/>
  <c r="D198" i="5"/>
  <c r="D199" i="5"/>
  <c r="B5" i="2"/>
  <c r="H25" i="1" l="1"/>
  <c r="W13" i="1"/>
  <c r="Z13" i="1" s="1"/>
  <c r="W16" i="1"/>
  <c r="Z16" i="1" s="1"/>
  <c r="W11" i="1"/>
  <c r="Z11" i="1" s="1"/>
  <c r="I25" i="1"/>
  <c r="F25" i="1"/>
  <c r="J25" i="1"/>
  <c r="L27" i="1" s="1"/>
  <c r="W12" i="1"/>
  <c r="Z12" i="1" s="1"/>
  <c r="E25" i="1"/>
  <c r="D25" i="1"/>
  <c r="W14" i="1"/>
  <c r="Z14" i="1" s="1"/>
  <c r="Z25" i="1"/>
  <c r="V19" i="1"/>
  <c r="J20" i="3"/>
  <c r="J22" i="3" s="1"/>
  <c r="J24" i="3" s="1"/>
  <c r="J25" i="3" s="1"/>
  <c r="I20" i="3"/>
  <c r="I22" i="3" s="1"/>
  <c r="I24" i="3" s="1"/>
  <c r="I25" i="3" s="1"/>
  <c r="G20" i="3"/>
  <c r="G22" i="3" s="1"/>
  <c r="G24" i="3" s="1"/>
  <c r="G25" i="3" s="1"/>
  <c r="B22" i="3"/>
  <c r="H20" i="3"/>
  <c r="H22" i="3" s="1"/>
  <c r="H24" i="3" s="1"/>
  <c r="H25" i="3" s="1"/>
  <c r="T20" i="3"/>
  <c r="T22" i="3" s="1"/>
  <c r="T24" i="3" s="1"/>
  <c r="T25" i="3" s="1"/>
  <c r="C20" i="3"/>
  <c r="C22" i="3" s="1"/>
  <c r="C24" i="3" s="1"/>
  <c r="C25" i="3" s="1"/>
  <c r="P20" i="3"/>
  <c r="P22" i="3" s="1"/>
  <c r="P24" i="3" s="1"/>
  <c r="P25" i="3" s="1"/>
  <c r="R20" i="3"/>
  <c r="R22" i="3" s="1"/>
  <c r="R24" i="3" s="1"/>
  <c r="R25" i="3" s="1"/>
  <c r="F20" i="3"/>
  <c r="F22" i="3" s="1"/>
  <c r="F24" i="3" s="1"/>
  <c r="F25" i="3" s="1"/>
  <c r="S20" i="3"/>
  <c r="S22" i="3" s="1"/>
  <c r="S24" i="3" s="1"/>
  <c r="S25" i="3" s="1"/>
  <c r="Q20" i="3"/>
  <c r="Q22" i="3" s="1"/>
  <c r="Q24" i="3" s="1"/>
  <c r="Q25" i="3" s="1"/>
  <c r="E20" i="3"/>
  <c r="E22" i="3" s="1"/>
  <c r="E24" i="3" s="1"/>
  <c r="E25" i="3" s="1"/>
  <c r="D20" i="3"/>
  <c r="D22" i="3" s="1"/>
  <c r="D24" i="3" s="1"/>
  <c r="D25" i="3" s="1"/>
  <c r="O20" i="3"/>
  <c r="O22" i="3" s="1"/>
  <c r="O24" i="3" s="1"/>
  <c r="O25" i="3" s="1"/>
  <c r="L20" i="3"/>
  <c r="L22" i="3" s="1"/>
  <c r="L24" i="3" s="1"/>
  <c r="L25" i="3" s="1"/>
  <c r="N20" i="3"/>
  <c r="N22" i="3" s="1"/>
  <c r="N24" i="3" s="1"/>
  <c r="N25" i="3" s="1"/>
  <c r="M20" i="3"/>
  <c r="M22" i="3" s="1"/>
  <c r="M24" i="3" s="1"/>
  <c r="M25" i="3" s="1"/>
  <c r="M26" i="11"/>
  <c r="M27" i="11" s="1"/>
  <c r="L25" i="11"/>
  <c r="L26" i="11" s="1"/>
  <c r="T23" i="11"/>
  <c r="T25" i="11" s="1"/>
  <c r="T26" i="11" s="1"/>
  <c r="T27" i="11" s="1"/>
  <c r="D23" i="11"/>
  <c r="D25" i="11" s="1"/>
  <c r="D19" i="11"/>
  <c r="O19" i="11"/>
  <c r="O23" i="11"/>
  <c r="O25" i="11" s="1"/>
  <c r="E26" i="11"/>
  <c r="E27" i="11" s="1"/>
  <c r="E28" i="11"/>
  <c r="I23" i="11"/>
  <c r="I25" i="11" s="1"/>
  <c r="I19" i="11"/>
  <c r="L28" i="11"/>
  <c r="N26" i="11"/>
  <c r="N27" i="11" s="1"/>
  <c r="N28" i="11"/>
  <c r="T28" i="11"/>
  <c r="R23" i="11"/>
  <c r="R25" i="11" s="1"/>
  <c r="R19" i="11"/>
  <c r="P19" i="11"/>
  <c r="P23" i="11"/>
  <c r="P25" i="11" s="1"/>
  <c r="G28" i="11"/>
  <c r="G26" i="11"/>
  <c r="G27" i="11" s="1"/>
  <c r="C28" i="11"/>
  <c r="C26" i="11"/>
  <c r="C27" i="11" s="1"/>
  <c r="H23" i="11"/>
  <c r="H25" i="11" s="1"/>
  <c r="H19" i="11"/>
  <c r="S19" i="11"/>
  <c r="S23" i="11"/>
  <c r="S25" i="11" s="1"/>
  <c r="Q23" i="11"/>
  <c r="Q25" i="11" s="1"/>
  <c r="Q19" i="11"/>
  <c r="J26" i="11"/>
  <c r="J27" i="11" s="1"/>
  <c r="F26" i="11"/>
  <c r="F27" i="11" s="1"/>
  <c r="F28" i="11"/>
  <c r="B19" i="11"/>
  <c r="B23" i="11"/>
  <c r="F19" i="1"/>
  <c r="P19" i="1"/>
  <c r="D19" i="1"/>
  <c r="N19" i="1"/>
  <c r="C19" i="1"/>
  <c r="J19" i="1"/>
  <c r="H19" i="1"/>
  <c r="R19" i="1"/>
  <c r="L19" i="1"/>
  <c r="G19" i="1"/>
  <c r="K19" i="1"/>
  <c r="Q19" i="1"/>
  <c r="U19" i="1"/>
  <c r="E19" i="1"/>
  <c r="I19" i="1"/>
  <c r="O19" i="1"/>
  <c r="S19" i="1"/>
  <c r="C14" i="6"/>
  <c r="T14" i="6"/>
  <c r="D28" i="6"/>
  <c r="J7" i="6"/>
  <c r="L28" i="6"/>
  <c r="H7" i="6"/>
  <c r="Q7" i="6"/>
  <c r="B14" i="6"/>
  <c r="J14" i="6"/>
  <c r="O14" i="6"/>
  <c r="S14" i="6"/>
  <c r="F13" i="6"/>
  <c r="F14" i="6" s="1"/>
  <c r="O13" i="6"/>
  <c r="D14" i="6"/>
  <c r="B27" i="6"/>
  <c r="B28" i="6" s="1"/>
  <c r="B32" i="6" s="1"/>
  <c r="J27" i="6"/>
  <c r="J28" i="6" s="1"/>
  <c r="S27" i="6"/>
  <c r="S28" i="6" s="1"/>
  <c r="S32" i="6" s="1"/>
  <c r="M28" i="6"/>
  <c r="M14" i="6"/>
  <c r="O28" i="6"/>
  <c r="F27" i="6"/>
  <c r="F28" i="6" s="1"/>
  <c r="S7" i="6"/>
  <c r="N14" i="6"/>
  <c r="E13" i="6"/>
  <c r="E14" i="6" s="1"/>
  <c r="B7" i="6"/>
  <c r="I13" i="6"/>
  <c r="I14" i="6" s="1"/>
  <c r="R13" i="6"/>
  <c r="R14" i="6" s="1"/>
  <c r="L14" i="6"/>
  <c r="I28" i="6"/>
  <c r="N28" i="6"/>
  <c r="R28" i="6"/>
  <c r="E27" i="6"/>
  <c r="E28" i="6" s="1"/>
  <c r="N27" i="6"/>
  <c r="C28" i="6"/>
  <c r="T28" i="6"/>
  <c r="N7" i="6"/>
  <c r="C7" i="6"/>
  <c r="G7" i="6"/>
  <c r="L7" i="6"/>
  <c r="P7" i="6"/>
  <c r="T7" i="6"/>
  <c r="T32" i="6" s="1"/>
  <c r="F7" i="6"/>
  <c r="O7" i="6"/>
  <c r="G14" i="6"/>
  <c r="P14" i="6"/>
  <c r="G28" i="6"/>
  <c r="G32" i="6" s="1"/>
  <c r="P28" i="6"/>
  <c r="E7" i="6"/>
  <c r="D7" i="6"/>
  <c r="D32" i="6" s="1"/>
  <c r="M7" i="6"/>
  <c r="M32" i="6" s="1"/>
  <c r="I7" i="6"/>
  <c r="R7" i="6"/>
  <c r="H14" i="6"/>
  <c r="Q14" i="6"/>
  <c r="H28" i="6"/>
  <c r="Q28" i="6"/>
  <c r="T27" i="3"/>
  <c r="S27" i="3"/>
  <c r="R27" i="3"/>
  <c r="Q27" i="3"/>
  <c r="P27" i="3"/>
  <c r="O27" i="3"/>
  <c r="N27" i="3"/>
  <c r="M27" i="3"/>
  <c r="L27" i="3"/>
  <c r="J27" i="3"/>
  <c r="I27" i="3"/>
  <c r="H27" i="3"/>
  <c r="G27" i="3"/>
  <c r="F27" i="3"/>
  <c r="D27" i="3"/>
  <c r="C27" i="3"/>
  <c r="B27" i="3"/>
  <c r="B12" i="2"/>
  <c r="B13" i="2" s="1"/>
  <c r="G19" i="2"/>
  <c r="G20" i="2" s="1"/>
  <c r="G21" i="2" s="1"/>
  <c r="I12" i="2"/>
  <c r="I13" i="2" s="1"/>
  <c r="I14" i="2" s="1"/>
  <c r="D5" i="2"/>
  <c r="D6" i="2" s="1"/>
  <c r="D7" i="2" s="1"/>
  <c r="L12" i="2"/>
  <c r="L13" i="2" s="1"/>
  <c r="L14" i="2" s="1"/>
  <c r="L19" i="2"/>
  <c r="L20" i="2" s="1"/>
  <c r="L21" i="2" s="1"/>
  <c r="C12" i="2"/>
  <c r="C13" i="2" s="1"/>
  <c r="D12" i="2"/>
  <c r="D13" i="2" s="1"/>
  <c r="D14" i="2" s="1"/>
  <c r="E12" i="2"/>
  <c r="E13" i="2" s="1"/>
  <c r="F12" i="2"/>
  <c r="F13" i="2" s="1"/>
  <c r="F14" i="2" s="1"/>
  <c r="G12" i="2"/>
  <c r="G13" i="2" s="1"/>
  <c r="J12" i="2"/>
  <c r="M5" i="2"/>
  <c r="M6" i="2" s="1"/>
  <c r="M7" i="2" s="1"/>
  <c r="N5" i="2"/>
  <c r="O5" i="2"/>
  <c r="O6" i="2" s="1"/>
  <c r="O7" i="2" s="1"/>
  <c r="P5" i="2"/>
  <c r="P6" i="2" s="1"/>
  <c r="H5" i="2"/>
  <c r="H6" i="2" s="1"/>
  <c r="H7" i="2" s="1"/>
  <c r="Q5" i="2"/>
  <c r="Q6" i="2" s="1"/>
  <c r="Q7" i="2" s="1"/>
  <c r="R5" i="2"/>
  <c r="R6" i="2" s="1"/>
  <c r="R7" i="2" s="1"/>
  <c r="S5" i="2"/>
  <c r="S6" i="2" s="1"/>
  <c r="T5" i="2"/>
  <c r="T6" i="2" s="1"/>
  <c r="N6" i="2"/>
  <c r="M12" i="2"/>
  <c r="M13" i="2" s="1"/>
  <c r="N12" i="2"/>
  <c r="N13" i="2" s="1"/>
  <c r="O12" i="2"/>
  <c r="O13" i="2" s="1"/>
  <c r="P12" i="2"/>
  <c r="P13" i="2" s="1"/>
  <c r="P14" i="2" s="1"/>
  <c r="H12" i="2"/>
  <c r="H13" i="2" s="1"/>
  <c r="Q12" i="2"/>
  <c r="Q13" i="2" s="1"/>
  <c r="Q14" i="2" s="1"/>
  <c r="R12" i="2"/>
  <c r="R13" i="2" s="1"/>
  <c r="S12" i="2"/>
  <c r="S13" i="2" s="1"/>
  <c r="S14" i="2" s="1"/>
  <c r="T12" i="2"/>
  <c r="T13" i="2" s="1"/>
  <c r="M19" i="2"/>
  <c r="M20" i="2" s="1"/>
  <c r="M21" i="2" s="1"/>
  <c r="N19" i="2"/>
  <c r="N20" i="2" s="1"/>
  <c r="N21" i="2" s="1"/>
  <c r="O19" i="2"/>
  <c r="O20" i="2" s="1"/>
  <c r="O21" i="2" s="1"/>
  <c r="P19" i="2"/>
  <c r="P20" i="2" s="1"/>
  <c r="P21" i="2" s="1"/>
  <c r="H19" i="2"/>
  <c r="H20" i="2" s="1"/>
  <c r="H21" i="2" s="1"/>
  <c r="Q19" i="2"/>
  <c r="Q20" i="2" s="1"/>
  <c r="Q21" i="2" s="1"/>
  <c r="R19" i="2"/>
  <c r="R20" i="2" s="1"/>
  <c r="R21" i="2" s="1"/>
  <c r="S19" i="2"/>
  <c r="S20" i="2" s="1"/>
  <c r="S21" i="2" s="1"/>
  <c r="T19" i="2"/>
  <c r="T20" i="2" s="1"/>
  <c r="T21" i="2" s="1"/>
  <c r="E5" i="2"/>
  <c r="E6" i="2" s="1"/>
  <c r="E7" i="2" s="1"/>
  <c r="F5" i="2"/>
  <c r="F6" i="2" s="1"/>
  <c r="F7" i="2" s="1"/>
  <c r="G5" i="2"/>
  <c r="G6" i="2" s="1"/>
  <c r="I5" i="2"/>
  <c r="I6" i="2" s="1"/>
  <c r="I7" i="2" s="1"/>
  <c r="J5" i="2"/>
  <c r="J6" i="2" s="1"/>
  <c r="J7" i="2" s="1"/>
  <c r="D19" i="2"/>
  <c r="D20" i="2" s="1"/>
  <c r="D21" i="2" s="1"/>
  <c r="E19" i="2"/>
  <c r="E20" i="2" s="1"/>
  <c r="E21" i="2" s="1"/>
  <c r="F19" i="2"/>
  <c r="F20" i="2" s="1"/>
  <c r="F21" i="2" s="1"/>
  <c r="I19" i="2"/>
  <c r="I20" i="2" s="1"/>
  <c r="I21" i="2" s="1"/>
  <c r="J19" i="2"/>
  <c r="J20" i="2" s="1"/>
  <c r="J21" i="2" s="1"/>
  <c r="B19" i="2"/>
  <c r="B20" i="2" s="1"/>
  <c r="B21" i="2" s="1"/>
  <c r="C5" i="2"/>
  <c r="C6" i="2" s="1"/>
  <c r="O27" i="4"/>
  <c r="O25" i="4"/>
  <c r="O23" i="4"/>
  <c r="M17" i="4"/>
  <c r="O17" i="4" s="1"/>
  <c r="L16" i="4"/>
  <c r="K16" i="4"/>
  <c r="J16" i="4"/>
  <c r="I16" i="4"/>
  <c r="H16" i="4"/>
  <c r="G16" i="4"/>
  <c r="F16" i="4"/>
  <c r="E16" i="4"/>
  <c r="D16" i="4"/>
  <c r="C16" i="4"/>
  <c r="M16" i="4" s="1"/>
  <c r="O16" i="4" s="1"/>
  <c r="L15" i="4"/>
  <c r="K15" i="4"/>
  <c r="J15" i="4"/>
  <c r="I15" i="4"/>
  <c r="H15" i="4"/>
  <c r="G15" i="4"/>
  <c r="F15" i="4"/>
  <c r="E15" i="4"/>
  <c r="D15" i="4"/>
  <c r="C15" i="4"/>
  <c r="M15" i="4" s="1"/>
  <c r="O15" i="4" s="1"/>
  <c r="L14" i="4"/>
  <c r="L27" i="4" s="1"/>
  <c r="K14" i="4"/>
  <c r="J14" i="4"/>
  <c r="I14" i="4"/>
  <c r="H14" i="4"/>
  <c r="G14" i="4"/>
  <c r="F14" i="4"/>
  <c r="E14" i="4"/>
  <c r="D14" i="4"/>
  <c r="D27" i="4" s="1"/>
  <c r="C14" i="4"/>
  <c r="M14" i="4" s="1"/>
  <c r="O14" i="4" s="1"/>
  <c r="L13" i="4"/>
  <c r="K13" i="4"/>
  <c r="J13" i="4"/>
  <c r="I13" i="4"/>
  <c r="H13" i="4"/>
  <c r="G13" i="4"/>
  <c r="F13" i="4"/>
  <c r="F21" i="4" s="1"/>
  <c r="E13" i="4"/>
  <c r="D13" i="4"/>
  <c r="C13" i="4"/>
  <c r="L12" i="4"/>
  <c r="K12" i="4"/>
  <c r="J12" i="4"/>
  <c r="I12" i="4"/>
  <c r="I21" i="4" s="1"/>
  <c r="H12" i="4"/>
  <c r="H27" i="4" s="1"/>
  <c r="G12" i="4"/>
  <c r="G27" i="4" s="1"/>
  <c r="F12" i="4"/>
  <c r="E12" i="4"/>
  <c r="D12" i="4"/>
  <c r="C12" i="4"/>
  <c r="M12" i="4" s="1"/>
  <c r="L5" i="2"/>
  <c r="L6" i="2" s="1"/>
  <c r="C19" i="2"/>
  <c r="C20" i="2" s="1"/>
  <c r="C21" i="2" s="1"/>
  <c r="B32" i="3" l="1"/>
  <c r="B24" i="3"/>
  <c r="B25" i="3" s="1"/>
  <c r="B26" i="3" s="1"/>
  <c r="B28" i="3" s="1"/>
  <c r="U20" i="3"/>
  <c r="Q25" i="2"/>
  <c r="D25" i="2"/>
  <c r="D30" i="2" s="1"/>
  <c r="D32" i="2" s="1"/>
  <c r="I25" i="2"/>
  <c r="I30" i="2" s="1"/>
  <c r="I32" i="2" s="1"/>
  <c r="F25" i="2"/>
  <c r="F30" i="2" s="1"/>
  <c r="F32" i="2" s="1"/>
  <c r="K19" i="11"/>
  <c r="U19" i="11"/>
  <c r="L27" i="11"/>
  <c r="U23" i="11"/>
  <c r="U25" i="11"/>
  <c r="K23" i="11"/>
  <c r="D26" i="11"/>
  <c r="D27" i="11" s="1"/>
  <c r="D28" i="11"/>
  <c r="S26" i="11"/>
  <c r="S27" i="11" s="1"/>
  <c r="S28" i="11"/>
  <c r="P28" i="11"/>
  <c r="P26" i="11"/>
  <c r="P27" i="11" s="1"/>
  <c r="O26" i="11"/>
  <c r="O27" i="11" s="1"/>
  <c r="O28" i="11"/>
  <c r="U28" i="11" s="1"/>
  <c r="B25" i="11"/>
  <c r="K25" i="11" s="1"/>
  <c r="Q28" i="11"/>
  <c r="Q26" i="11"/>
  <c r="Q27" i="11" s="1"/>
  <c r="H28" i="11"/>
  <c r="H26" i="11"/>
  <c r="H27" i="11" s="1"/>
  <c r="R26" i="11"/>
  <c r="R27" i="11" s="1"/>
  <c r="R28" i="11"/>
  <c r="I26" i="11"/>
  <c r="I27" i="11" s="1"/>
  <c r="I28" i="11"/>
  <c r="O32" i="6"/>
  <c r="L32" i="6"/>
  <c r="R32" i="6"/>
  <c r="J32" i="6"/>
  <c r="J33" i="6" s="1"/>
  <c r="B37" i="6"/>
  <c r="B33" i="6"/>
  <c r="F32" i="6"/>
  <c r="C32" i="6"/>
  <c r="H32" i="6"/>
  <c r="I32" i="6"/>
  <c r="I33" i="6" s="1"/>
  <c r="E32" i="6"/>
  <c r="N32" i="6"/>
  <c r="N33" i="6" s="1"/>
  <c r="N37" i="6"/>
  <c r="M37" i="6"/>
  <c r="M33" i="6"/>
  <c r="D37" i="6"/>
  <c r="D33" i="6"/>
  <c r="F33" i="6"/>
  <c r="F37" i="6"/>
  <c r="E33" i="6"/>
  <c r="E37" i="6"/>
  <c r="T37" i="6"/>
  <c r="T33" i="6"/>
  <c r="C37" i="6"/>
  <c r="C33" i="6"/>
  <c r="G37" i="6"/>
  <c r="G33" i="6"/>
  <c r="L37" i="6"/>
  <c r="L33" i="6"/>
  <c r="O33" i="6"/>
  <c r="O37" i="6"/>
  <c r="R33" i="6"/>
  <c r="R37" i="6"/>
  <c r="H37" i="6"/>
  <c r="H33" i="6"/>
  <c r="S33" i="6"/>
  <c r="S37" i="6"/>
  <c r="Q32" i="6"/>
  <c r="P32" i="6"/>
  <c r="N14" i="2"/>
  <c r="B14" i="2"/>
  <c r="N7" i="2"/>
  <c r="E14" i="2"/>
  <c r="G14" i="2"/>
  <c r="C14" i="2"/>
  <c r="U10" i="3"/>
  <c r="U6" i="3"/>
  <c r="U14" i="3"/>
  <c r="U18" i="3"/>
  <c r="J13" i="2"/>
  <c r="J14" i="2" s="1"/>
  <c r="J25" i="2" s="1"/>
  <c r="O14" i="2"/>
  <c r="O25" i="2" s="1"/>
  <c r="G7" i="2"/>
  <c r="R14" i="2"/>
  <c r="R25" i="2" s="1"/>
  <c r="T7" i="2"/>
  <c r="Q30" i="2"/>
  <c r="Q32" i="2" s="1"/>
  <c r="T14" i="2"/>
  <c r="H14" i="2"/>
  <c r="M14" i="2"/>
  <c r="M25" i="2" s="1"/>
  <c r="S7" i="2"/>
  <c r="P7" i="2"/>
  <c r="P25" i="2" s="1"/>
  <c r="C7" i="2"/>
  <c r="B6" i="2"/>
  <c r="B7" i="2" s="1"/>
  <c r="L7" i="2"/>
  <c r="L25" i="2" s="1"/>
  <c r="M26" i="3"/>
  <c r="O12" i="4"/>
  <c r="M21" i="4"/>
  <c r="J27" i="4"/>
  <c r="H21" i="4"/>
  <c r="F27" i="4"/>
  <c r="D21" i="4"/>
  <c r="L21" i="4"/>
  <c r="C27" i="4"/>
  <c r="E21" i="4"/>
  <c r="C21" i="4"/>
  <c r="K21" i="4"/>
  <c r="I27" i="4"/>
  <c r="K27" i="4"/>
  <c r="M13" i="4"/>
  <c r="O13" i="4" s="1"/>
  <c r="O21" i="4"/>
  <c r="G21" i="4"/>
  <c r="E27" i="4"/>
  <c r="J21" i="4"/>
  <c r="N25" i="2" l="1"/>
  <c r="N26" i="2" s="1"/>
  <c r="G25" i="2"/>
  <c r="S25" i="2"/>
  <c r="S30" i="2" s="1"/>
  <c r="S32" i="2" s="1"/>
  <c r="C25" i="2"/>
  <c r="C30" i="2" s="1"/>
  <c r="C32" i="2" s="1"/>
  <c r="B25" i="2"/>
  <c r="B30" i="2" s="1"/>
  <c r="B32" i="2" s="1"/>
  <c r="B33" i="2" s="1"/>
  <c r="B34" i="2" s="1"/>
  <c r="H25" i="2"/>
  <c r="H26" i="2" s="1"/>
  <c r="T25" i="2"/>
  <c r="E25" i="2"/>
  <c r="U26" i="11"/>
  <c r="U27" i="11"/>
  <c r="B26" i="11"/>
  <c r="K26" i="11" s="1"/>
  <c r="B28" i="11"/>
  <c r="K28" i="11" s="1"/>
  <c r="I37" i="6"/>
  <c r="J37" i="6"/>
  <c r="D35" i="2"/>
  <c r="D33" i="2"/>
  <c r="D34" i="2" s="1"/>
  <c r="I35" i="2"/>
  <c r="I33" i="2"/>
  <c r="I34" i="2" s="1"/>
  <c r="Q35" i="2"/>
  <c r="Q33" i="2"/>
  <c r="Q34" i="2" s="1"/>
  <c r="F35" i="2"/>
  <c r="F33" i="2"/>
  <c r="F34" i="2" s="1"/>
  <c r="S42" i="6"/>
  <c r="S40" i="6"/>
  <c r="S41" i="6" s="1"/>
  <c r="R42" i="6"/>
  <c r="R40" i="6"/>
  <c r="R41" i="6" s="1"/>
  <c r="E40" i="6"/>
  <c r="E41" i="6" s="1"/>
  <c r="E42" i="6"/>
  <c r="N42" i="6"/>
  <c r="N40" i="6"/>
  <c r="N41" i="6" s="1"/>
  <c r="L42" i="6"/>
  <c r="L40" i="6"/>
  <c r="L41" i="6" s="1"/>
  <c r="D42" i="6"/>
  <c r="D40" i="6"/>
  <c r="D41" i="6" s="1"/>
  <c r="P37" i="6"/>
  <c r="P33" i="6"/>
  <c r="O42" i="6"/>
  <c r="O40" i="6"/>
  <c r="O41" i="6" s="1"/>
  <c r="F40" i="6"/>
  <c r="F41" i="6" s="1"/>
  <c r="F42" i="6"/>
  <c r="I42" i="6"/>
  <c r="I40" i="6"/>
  <c r="I41" i="6" s="1"/>
  <c r="C42" i="6"/>
  <c r="C40" i="6"/>
  <c r="C41" i="6" s="1"/>
  <c r="Q37" i="6"/>
  <c r="Q33" i="6"/>
  <c r="H42" i="6"/>
  <c r="H40" i="6"/>
  <c r="H41" i="6" s="1"/>
  <c r="G42" i="6"/>
  <c r="G40" i="6"/>
  <c r="G41" i="6" s="1"/>
  <c r="T42" i="6"/>
  <c r="T40" i="6"/>
  <c r="T41" i="6" s="1"/>
  <c r="M42" i="6"/>
  <c r="M40" i="6"/>
  <c r="M41" i="6" s="1"/>
  <c r="N29" i="3"/>
  <c r="N32" i="3"/>
  <c r="N31" i="3"/>
  <c r="S31" i="3"/>
  <c r="S32" i="3"/>
  <c r="S29" i="3"/>
  <c r="T32" i="3"/>
  <c r="T31" i="3"/>
  <c r="T29" i="3"/>
  <c r="C31" i="3"/>
  <c r="C29" i="3"/>
  <c r="C32" i="3"/>
  <c r="E32" i="3"/>
  <c r="E29" i="3"/>
  <c r="E31" i="3"/>
  <c r="M32" i="3"/>
  <c r="M31" i="3"/>
  <c r="M29" i="3"/>
  <c r="I29" i="3"/>
  <c r="I31" i="3"/>
  <c r="I32" i="3"/>
  <c r="G32" i="3"/>
  <c r="G31" i="3"/>
  <c r="G29" i="3"/>
  <c r="R29" i="3"/>
  <c r="R31" i="3"/>
  <c r="R32" i="3"/>
  <c r="O32" i="3"/>
  <c r="O31" i="3"/>
  <c r="O29" i="3"/>
  <c r="N26" i="3"/>
  <c r="N28" i="3" s="1"/>
  <c r="F31" i="3"/>
  <c r="F29" i="3"/>
  <c r="F32" i="3"/>
  <c r="J32" i="3"/>
  <c r="J31" i="3"/>
  <c r="J29" i="3"/>
  <c r="D32" i="3"/>
  <c r="D31" i="3"/>
  <c r="D29" i="3"/>
  <c r="H29" i="3"/>
  <c r="H32" i="3"/>
  <c r="H31" i="3"/>
  <c r="B31" i="3"/>
  <c r="B29" i="3"/>
  <c r="I26" i="2"/>
  <c r="D26" i="2"/>
  <c r="S26" i="2"/>
  <c r="F26" i="2"/>
  <c r="T26" i="2"/>
  <c r="Q26" i="2"/>
  <c r="O30" i="2"/>
  <c r="O32" i="2" s="1"/>
  <c r="L30" i="2"/>
  <c r="G30" i="2"/>
  <c r="G32" i="2" s="1"/>
  <c r="L26" i="3"/>
  <c r="T26" i="3"/>
  <c r="T28" i="3" s="1"/>
  <c r="H26" i="3"/>
  <c r="R26" i="3"/>
  <c r="O26" i="3"/>
  <c r="M30" i="2"/>
  <c r="M32" i="2" s="1"/>
  <c r="J30" i="2"/>
  <c r="J32" i="2" s="1"/>
  <c r="R30" i="2"/>
  <c r="R32" i="2" s="1"/>
  <c r="S26" i="3"/>
  <c r="M28" i="3"/>
  <c r="B34" i="3" l="1"/>
  <c r="U25" i="2"/>
  <c r="N30" i="2"/>
  <c r="N32" i="2" s="1"/>
  <c r="S33" i="2"/>
  <c r="S34" i="2" s="1"/>
  <c r="S35" i="2"/>
  <c r="K25" i="2"/>
  <c r="B35" i="2"/>
  <c r="T30" i="2"/>
  <c r="T32" i="2" s="1"/>
  <c r="T35" i="2" s="1"/>
  <c r="E26" i="2"/>
  <c r="E30" i="2"/>
  <c r="E32" i="2" s="1"/>
  <c r="H30" i="2"/>
  <c r="H32" i="2" s="1"/>
  <c r="L32" i="2"/>
  <c r="L35" i="2" s="1"/>
  <c r="B27" i="11"/>
  <c r="K27" i="11" s="1"/>
  <c r="J42" i="6"/>
  <c r="J40" i="6"/>
  <c r="J41" i="6" s="1"/>
  <c r="O35" i="2"/>
  <c r="O33" i="2"/>
  <c r="O34" i="2" s="1"/>
  <c r="R33" i="2"/>
  <c r="R34" i="2" s="1"/>
  <c r="R35" i="2"/>
  <c r="M35" i="2"/>
  <c r="M33" i="2"/>
  <c r="M34" i="2" s="1"/>
  <c r="C35" i="2"/>
  <c r="C33" i="2"/>
  <c r="C34" i="2" s="1"/>
  <c r="J35" i="2"/>
  <c r="J33" i="2"/>
  <c r="J34" i="2" s="1"/>
  <c r="G35" i="2"/>
  <c r="G33" i="2"/>
  <c r="G34" i="2" s="1"/>
  <c r="N35" i="2"/>
  <c r="N33" i="2"/>
  <c r="N34" i="2" s="1"/>
  <c r="Q42" i="6"/>
  <c r="Q40" i="6"/>
  <c r="Q41" i="6" s="1"/>
  <c r="P42" i="6"/>
  <c r="P40" i="6"/>
  <c r="P41" i="6" s="1"/>
  <c r="P26" i="2"/>
  <c r="P30" i="2"/>
  <c r="P32" i="2" s="1"/>
  <c r="B26" i="2"/>
  <c r="Q26" i="3"/>
  <c r="Q28" i="3" s="1"/>
  <c r="Q29" i="3"/>
  <c r="Q32" i="3"/>
  <c r="Q31" i="3"/>
  <c r="P26" i="3"/>
  <c r="P28" i="3" s="1"/>
  <c r="P32" i="3"/>
  <c r="P31" i="3"/>
  <c r="P29" i="3"/>
  <c r="L32" i="3"/>
  <c r="L31" i="3"/>
  <c r="L29" i="3"/>
  <c r="L26" i="2"/>
  <c r="C26" i="2"/>
  <c r="M26" i="2"/>
  <c r="O26" i="2"/>
  <c r="R26" i="2"/>
  <c r="J26" i="2"/>
  <c r="G26" i="2"/>
  <c r="H28" i="3"/>
  <c r="H34" i="3" s="1"/>
  <c r="H35" i="3" s="1"/>
  <c r="R28" i="3"/>
  <c r="R34" i="3" s="1"/>
  <c r="R35" i="3" s="1"/>
  <c r="T34" i="3"/>
  <c r="T35" i="3" s="1"/>
  <c r="L28" i="3"/>
  <c r="O28" i="3"/>
  <c r="O34" i="3" s="1"/>
  <c r="O35" i="3" s="1"/>
  <c r="M34" i="3"/>
  <c r="M35" i="3" s="1"/>
  <c r="S28" i="3"/>
  <c r="S34" i="3" s="1"/>
  <c r="S35" i="3" s="1"/>
  <c r="N34" i="3"/>
  <c r="N35" i="3" s="1"/>
  <c r="T33" i="2" l="1"/>
  <c r="T34" i="2" s="1"/>
  <c r="H35" i="2"/>
  <c r="H33" i="2"/>
  <c r="H34" i="2" s="1"/>
  <c r="L33" i="2"/>
  <c r="L34" i="2" s="1"/>
  <c r="E35" i="2"/>
  <c r="E33" i="2"/>
  <c r="E34" i="2" s="1"/>
  <c r="K30" i="2"/>
  <c r="U26" i="2"/>
  <c r="U30" i="2"/>
  <c r="K26" i="2"/>
  <c r="U32" i="2"/>
  <c r="K32" i="2"/>
  <c r="P35" i="2"/>
  <c r="U35" i="2" s="1"/>
  <c r="P33" i="2"/>
  <c r="P34" i="2" s="1"/>
  <c r="L34" i="3"/>
  <c r="L35" i="3" s="1"/>
  <c r="Q34" i="3"/>
  <c r="Q35" i="3" s="1"/>
  <c r="P34" i="3"/>
  <c r="P35" i="3" s="1"/>
  <c r="U34" i="2" l="1"/>
  <c r="U33" i="2"/>
  <c r="K35" i="2"/>
  <c r="K33" i="2"/>
  <c r="K34" i="2" l="1"/>
  <c r="D26" i="3"/>
  <c r="I26" i="3"/>
  <c r="C26" i="3"/>
  <c r="J26" i="3"/>
  <c r="E26" i="3"/>
  <c r="F26" i="3"/>
  <c r="F28" i="3" s="1"/>
  <c r="G26" i="3"/>
  <c r="D34" i="3" l="1"/>
  <c r="D35" i="3" s="1"/>
  <c r="I28" i="3"/>
  <c r="I34" i="3" s="1"/>
  <c r="I35" i="3" s="1"/>
  <c r="F34" i="3"/>
  <c r="F35" i="3" s="1"/>
  <c r="E28" i="3"/>
  <c r="E34" i="3" s="1"/>
  <c r="E35" i="3" s="1"/>
  <c r="C28" i="3"/>
  <c r="C34" i="3" s="1"/>
  <c r="C35" i="3" s="1"/>
  <c r="J28" i="3"/>
  <c r="J34" i="3" s="1"/>
  <c r="J35" i="3" s="1"/>
  <c r="G34" i="3" l="1"/>
  <c r="G35" i="3" s="1"/>
  <c r="B3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Noordhoff, Zachary N CIV USARMY CENAB (US)</author>
    <author>USACE</author>
  </authors>
  <commentList>
    <comment ref="B9" authorId="0" shapeId="0" xr:uid="{5EE45357-AA77-4275-AC11-4F0AB92E16BC}">
      <text>
        <r>
          <rPr>
            <b/>
            <sz val="9"/>
            <color indexed="81"/>
            <rFont val="Tahoma"/>
            <family val="2"/>
          </rPr>
          <t>Noordhoff, Zachary N CIV USARMY CENAB (US):</t>
        </r>
        <r>
          <rPr>
            <sz val="9"/>
            <color indexed="81"/>
            <rFont val="Tahoma"/>
            <family val="2"/>
          </rPr>
          <t xml:space="preserve">
Receive from Travel Est. Tab.</t>
        </r>
      </text>
    </comment>
    <comment ref="C12" authorId="1" shapeId="0" xr:uid="{B820D466-3131-4B18-977F-1380B2AEF259}">
      <text>
        <r>
          <rPr>
            <b/>
            <sz val="9"/>
            <color indexed="81"/>
            <rFont val="Tahoma"/>
            <family val="2"/>
          </rPr>
          <t>USACE:</t>
        </r>
        <r>
          <rPr>
            <sz val="9"/>
            <color indexed="81"/>
            <rFont val="Tahoma"/>
            <family val="2"/>
          </rPr>
          <t xml:space="preserve">
est 8 hours per week</t>
        </r>
      </text>
    </comment>
    <comment ref="C13" authorId="1" shapeId="0" xr:uid="{C5BBBDA7-2ABA-44F2-ADB3-E74F71B95297}">
      <text>
        <r>
          <rPr>
            <b/>
            <sz val="9"/>
            <color indexed="81"/>
            <rFont val="Tahoma"/>
            <family val="2"/>
          </rPr>
          <t>USACE:</t>
        </r>
        <r>
          <rPr>
            <sz val="9"/>
            <color indexed="81"/>
            <rFont val="Tahoma"/>
            <family val="2"/>
          </rPr>
          <t xml:space="preserve">
est 40 hours per week</t>
        </r>
      </text>
    </comment>
    <comment ref="C14" authorId="1" shapeId="0" xr:uid="{18B9E862-846F-4D5C-A1FE-138BA4FDCED6}">
      <text>
        <r>
          <rPr>
            <b/>
            <sz val="9"/>
            <color indexed="81"/>
            <rFont val="Tahoma"/>
            <family val="2"/>
          </rPr>
          <t>USACE:</t>
        </r>
        <r>
          <rPr>
            <sz val="9"/>
            <color indexed="81"/>
            <rFont val="Tahoma"/>
            <family val="2"/>
          </rPr>
          <t xml:space="preserve">
est 2 weeks @ 40 hours per week</t>
        </r>
      </text>
    </comment>
    <comment ref="C15" authorId="1" shapeId="0" xr:uid="{01AB7033-6109-40AC-9491-A0B82E6E7DDD}">
      <text>
        <r>
          <rPr>
            <b/>
            <sz val="9"/>
            <color indexed="81"/>
            <rFont val="Tahoma"/>
            <family val="2"/>
          </rPr>
          <t>USACE:</t>
        </r>
        <r>
          <rPr>
            <sz val="9"/>
            <color indexed="81"/>
            <rFont val="Tahoma"/>
            <family val="2"/>
          </rPr>
          <t xml:space="preserve">
est 4 hours per week</t>
        </r>
      </text>
    </comment>
    <comment ref="C16" authorId="1" shapeId="0" xr:uid="{00604E2E-0D79-400F-9A47-7EA8DCDA3DD0}">
      <text>
        <r>
          <rPr>
            <b/>
            <sz val="9"/>
            <color indexed="81"/>
            <rFont val="Tahoma"/>
            <family val="2"/>
          </rPr>
          <t>USACE:</t>
        </r>
        <r>
          <rPr>
            <sz val="9"/>
            <color indexed="81"/>
            <rFont val="Tahoma"/>
            <family val="2"/>
          </rPr>
          <t xml:space="preserve">
est 2 hours per week</t>
        </r>
      </text>
    </comment>
    <comment ref="A23" authorId="1" shapeId="0" xr:uid="{81C66DD1-83AE-44BC-B093-544424DEF924}">
      <text>
        <r>
          <rPr>
            <b/>
            <sz val="9"/>
            <color indexed="81"/>
            <rFont val="Tahoma"/>
            <family val="2"/>
          </rPr>
          <t>USACE:</t>
        </r>
        <r>
          <rPr>
            <sz val="9"/>
            <color indexed="81"/>
            <rFont val="Tahoma"/>
            <family val="2"/>
          </rPr>
          <t xml:space="preserve">
includes equipment and support items:
-field tools (mobile phones, computers, etc.)
-meals.
-service clothing.
-PPE.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Andrew Huddleston</author>
    <author>tc={59DB17E9-7978-49E4-91A2-D4FA40761747}</author>
    <author>USACE</author>
  </authors>
  <commentList>
    <comment ref="A3" authorId="0" shapeId="0" xr:uid="{CBDED564-E23A-4EA6-B049-62446EC80375}">
      <text>
        <r>
          <rPr>
            <b/>
            <sz val="9"/>
            <color indexed="81"/>
            <rFont val="Tahoma"/>
            <family val="2"/>
          </rPr>
          <t>Andrew Huddleston:</t>
        </r>
        <r>
          <rPr>
            <sz val="9"/>
            <color indexed="81"/>
            <rFont val="Tahoma"/>
            <family val="2"/>
          </rPr>
          <t xml:space="preserve">
NRMA=NRM Assessment, unpaved and paved road mileage on all USACE OWNED roadways</t>
        </r>
      </text>
    </comment>
    <comment ref="A4" authorId="1" shapeId="0" xr:uid="{59DB17E9-7978-49E4-91A2-D4FA40761747}">
      <text>
        <t>[Threaded comment]
Your version of Excel allows you to read this threaded comment; however, any edits to it will get removed if the file is opened in a newer version of Excel. Learn more: https://go.microsoft.com/fwlink/?linkid=870924
Comment:
    Need to hone in the rate of road collection...how many road miles can be collected in 1 hour?</t>
      </text>
    </comment>
    <comment ref="A24" authorId="0" shapeId="0" xr:uid="{A364C1AA-41C3-4C0B-97DB-73AFDA297555}">
      <text>
        <r>
          <rPr>
            <b/>
            <sz val="9"/>
            <color indexed="81"/>
            <rFont val="Tahoma"/>
            <family val="2"/>
          </rPr>
          <t>Andrew Huddleston:</t>
        </r>
        <r>
          <rPr>
            <sz val="9"/>
            <color indexed="81"/>
            <rFont val="Tahoma"/>
            <family val="2"/>
          </rPr>
          <t xml:space="preserve">
Traffic Counters
Dump Stations
Trail Heads
Amph
Fish Features
Restrooms
Boat Ramp
Swim Beach
Picnic Site
Group Picnic Site
Group Camp Shelter
</t>
        </r>
      </text>
    </comment>
    <comment ref="A30" authorId="0" shapeId="0" xr:uid="{22FB8DEE-1C34-453E-8247-77F95CC32D94}">
      <text>
        <r>
          <rPr>
            <b/>
            <sz val="9"/>
            <color indexed="81"/>
            <rFont val="Tahoma"/>
            <charset val="1"/>
          </rPr>
          <t>Andrew Huddleston:</t>
        </r>
        <r>
          <rPr>
            <sz val="9"/>
            <color indexed="81"/>
            <rFont val="Tahoma"/>
            <charset val="1"/>
          </rPr>
          <t xml:space="preserve">
Add 4 days to each project for OCA collection, rating, etc. </t>
        </r>
      </text>
    </comment>
    <comment ref="A35" authorId="2" shapeId="0" xr:uid="{C9DB151A-02D1-4CD2-9FDB-70BFE208B5B4}">
      <text>
        <r>
          <rPr>
            <b/>
            <sz val="9"/>
            <color indexed="81"/>
            <rFont val="Tahoma"/>
            <family val="2"/>
          </rPr>
          <t>USACE:</t>
        </r>
        <r>
          <rPr>
            <sz val="9"/>
            <color indexed="81"/>
            <rFont val="Tahoma"/>
            <family val="2"/>
          </rPr>
          <t xml:space="preserve">
Project count from FY20 NRMA.</t>
        </r>
      </text>
    </comment>
    <comment ref="A38" authorId="2" shapeId="0" xr:uid="{2B6F8444-C657-4D44-BF10-772296A02E9A}">
      <text>
        <r>
          <rPr>
            <b/>
            <sz val="9"/>
            <color indexed="81"/>
            <rFont val="Tahoma"/>
            <family val="2"/>
          </rPr>
          <t>USACE:</t>
        </r>
        <r>
          <rPr>
            <sz val="9"/>
            <color indexed="81"/>
            <rFont val="Tahoma"/>
            <family val="2"/>
          </rPr>
          <t xml:space="preserve">
this comes directly from travel estimator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Noordhoff, Zachary N CIV USARMY CENAB (US)</author>
    <author>Andrew Huddleston</author>
    <author>USACE</author>
  </authors>
  <commentList>
    <comment ref="B8" authorId="0" shapeId="0" xr:uid="{7664FFA3-00BB-4927-BDE9-07A7085D424D}">
      <text>
        <r>
          <rPr>
            <b/>
            <sz val="9"/>
            <color indexed="81"/>
            <rFont val="Tahoma"/>
            <family val="2"/>
          </rPr>
          <t>Noordhoff, Zachary N CIV USARMY CENAB (US):</t>
        </r>
        <r>
          <rPr>
            <sz val="9"/>
            <color indexed="81"/>
            <rFont val="Tahoma"/>
            <family val="2"/>
          </rPr>
          <t xml:space="preserve">
Receive from Travel Est. Tab.</t>
        </r>
      </text>
    </comment>
    <comment ref="W8" authorId="1" shapeId="0" xr:uid="{EDC33E81-9878-4350-AAB8-354F2F57AC75}">
      <text>
        <r>
          <rPr>
            <b/>
            <sz val="9"/>
            <color indexed="81"/>
            <rFont val="Tahoma"/>
            <family val="2"/>
          </rPr>
          <t>Andrew Huddleston:</t>
        </r>
        <r>
          <rPr>
            <sz val="9"/>
            <color indexed="81"/>
            <rFont val="Tahoma"/>
            <family val="2"/>
          </rPr>
          <t xml:space="preserve">
Total Weeks. Add 10 weeks for onboarding and training. </t>
        </r>
      </text>
    </comment>
    <comment ref="C11" authorId="2" shapeId="0" xr:uid="{D3C02FE6-A54E-49C7-BF06-4055C016739B}">
      <text>
        <r>
          <rPr>
            <b/>
            <sz val="9"/>
            <color indexed="81"/>
            <rFont val="Tahoma"/>
            <family val="2"/>
          </rPr>
          <t>USACE:</t>
        </r>
        <r>
          <rPr>
            <sz val="9"/>
            <color indexed="81"/>
            <rFont val="Tahoma"/>
            <family val="2"/>
          </rPr>
          <t xml:space="preserve">
est 8 hours per week</t>
        </r>
      </text>
    </comment>
    <comment ref="L11" authorId="2" shapeId="0" xr:uid="{256D606E-269A-4580-8E27-EADA65CC7B71}">
      <text>
        <r>
          <rPr>
            <b/>
            <sz val="9"/>
            <color indexed="81"/>
            <rFont val="Tahoma"/>
            <family val="2"/>
          </rPr>
          <t>USACE:</t>
        </r>
        <r>
          <rPr>
            <sz val="9"/>
            <color indexed="81"/>
            <rFont val="Tahoma"/>
            <family val="2"/>
          </rPr>
          <t xml:space="preserve">
during data collection est 4 hours per week</t>
        </r>
      </text>
    </comment>
    <comment ref="C12" authorId="2" shapeId="0" xr:uid="{E67B4031-A168-46CD-B12B-F1B5EA603491}">
      <text>
        <r>
          <rPr>
            <b/>
            <sz val="9"/>
            <color indexed="81"/>
            <rFont val="Tahoma"/>
            <family val="2"/>
          </rPr>
          <t>USACE:</t>
        </r>
        <r>
          <rPr>
            <sz val="9"/>
            <color indexed="81"/>
            <rFont val="Tahoma"/>
            <family val="2"/>
          </rPr>
          <t xml:space="preserve">
est 40 hours per week</t>
        </r>
      </text>
    </comment>
    <comment ref="L12" authorId="2" shapeId="0" xr:uid="{D3D821B4-A3AD-420F-9DE2-78AA576609BD}">
      <text>
        <r>
          <rPr>
            <b/>
            <sz val="9"/>
            <color indexed="81"/>
            <rFont val="Tahoma"/>
            <family val="2"/>
          </rPr>
          <t>USACE:</t>
        </r>
        <r>
          <rPr>
            <sz val="9"/>
            <color indexed="81"/>
            <rFont val="Tahoma"/>
            <family val="2"/>
          </rPr>
          <t xml:space="preserve">
during data collection est 30 hours per week</t>
        </r>
      </text>
    </comment>
    <comment ref="C13" authorId="2" shapeId="0" xr:uid="{BAD94703-C82C-4CCB-8793-5E7D5234D833}">
      <text>
        <r>
          <rPr>
            <b/>
            <sz val="9"/>
            <color indexed="81"/>
            <rFont val="Tahoma"/>
            <family val="2"/>
          </rPr>
          <t>USACE:</t>
        </r>
        <r>
          <rPr>
            <sz val="9"/>
            <color indexed="81"/>
            <rFont val="Tahoma"/>
            <family val="2"/>
          </rPr>
          <t xml:space="preserve">
est 2 weeks @ 40 hours per week</t>
        </r>
      </text>
    </comment>
    <comment ref="L13" authorId="2" shapeId="0" xr:uid="{4BAAA1DE-C939-4FB6-8AFB-9067181AE520}">
      <text>
        <r>
          <rPr>
            <b/>
            <sz val="9"/>
            <color indexed="81"/>
            <rFont val="Tahoma"/>
            <family val="2"/>
          </rPr>
          <t>USACE:</t>
        </r>
        <r>
          <rPr>
            <sz val="9"/>
            <color indexed="81"/>
            <rFont val="Tahoma"/>
            <family val="2"/>
          </rPr>
          <t xml:space="preserve">
est 40 hours per week
</t>
        </r>
      </text>
    </comment>
    <comment ref="C14" authorId="2" shapeId="0" xr:uid="{2AF51059-7DAB-481B-AFAF-2034E77AF106}">
      <text>
        <r>
          <rPr>
            <b/>
            <sz val="9"/>
            <color indexed="81"/>
            <rFont val="Tahoma"/>
            <family val="2"/>
          </rPr>
          <t>USACE:</t>
        </r>
        <r>
          <rPr>
            <sz val="9"/>
            <color indexed="81"/>
            <rFont val="Tahoma"/>
            <family val="2"/>
          </rPr>
          <t xml:space="preserve">
est 4 hours per week</t>
        </r>
      </text>
    </comment>
    <comment ref="C15" authorId="2" shapeId="0" xr:uid="{A3DD4F14-A9AF-4632-B03D-6DFC9F0A9E44}">
      <text>
        <r>
          <rPr>
            <b/>
            <sz val="9"/>
            <color indexed="81"/>
            <rFont val="Tahoma"/>
            <family val="2"/>
          </rPr>
          <t>USACE:</t>
        </r>
        <r>
          <rPr>
            <sz val="9"/>
            <color indexed="81"/>
            <rFont val="Tahoma"/>
            <family val="2"/>
          </rPr>
          <t xml:space="preserve">
est 2 hours per week</t>
        </r>
      </text>
    </comment>
    <comment ref="L16" authorId="2" shapeId="0" xr:uid="{15BE7943-3E92-424C-9944-7839961A090F}">
      <text>
        <r>
          <rPr>
            <b/>
            <sz val="9"/>
            <color indexed="81"/>
            <rFont val="Tahoma"/>
            <family val="2"/>
          </rPr>
          <t>USACE:</t>
        </r>
        <r>
          <rPr>
            <sz val="9"/>
            <color indexed="81"/>
            <rFont val="Tahoma"/>
            <family val="2"/>
          </rPr>
          <t xml:space="preserve">
from time estimator</t>
        </r>
      </text>
    </comment>
    <comment ref="A21" authorId="2" shapeId="0" xr:uid="{0F42E585-2CBA-4E1F-BC6F-4CE0A40B0734}">
      <text>
        <r>
          <rPr>
            <b/>
            <sz val="9"/>
            <color indexed="81"/>
            <rFont val="Tahoma"/>
            <family val="2"/>
          </rPr>
          <t>USACE:</t>
        </r>
        <r>
          <rPr>
            <sz val="9"/>
            <color indexed="81"/>
            <rFont val="Tahoma"/>
            <family val="2"/>
          </rPr>
          <t xml:space="preserve">
includes equipment and support items:
-field tools (mobile phones, computers, etc.)
-meals.
-service clothing.
-PPE.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Huddleston</author>
  </authors>
  <commentList>
    <comment ref="I5" authorId="0" shapeId="0" xr:uid="{9DEA028D-6632-48C9-887C-FF9C22B6B12E}">
      <text>
        <r>
          <rPr>
            <b/>
            <sz val="9"/>
            <color indexed="81"/>
            <rFont val="Tahoma"/>
            <family val="2"/>
          </rPr>
          <t>Andrew Huddleston:</t>
        </r>
        <r>
          <rPr>
            <sz val="9"/>
            <color indexed="81"/>
            <rFont val="Tahoma"/>
            <family val="2"/>
          </rPr>
          <t xml:space="preserve">
Service and Public Paved</t>
        </r>
      </text>
    </comment>
    <comment ref="J5" authorId="0" shapeId="0" xr:uid="{86E790D6-B1CE-4BD3-9016-6374869536F1}">
      <text>
        <r>
          <rPr>
            <b/>
            <sz val="9"/>
            <color indexed="81"/>
            <rFont val="Tahoma"/>
            <family val="2"/>
          </rPr>
          <t>Andrew Huddleston:</t>
        </r>
        <r>
          <rPr>
            <sz val="9"/>
            <color indexed="81"/>
            <rFont val="Tahoma"/>
            <family val="2"/>
          </rPr>
          <t xml:space="preserve">
Service and Public Unpaved</t>
        </r>
      </text>
    </comment>
    <comment ref="B10" authorId="0" shapeId="0" xr:uid="{68D6C13C-EDDC-492C-9F8C-4E8A0820C8BF}">
      <text>
        <r>
          <rPr>
            <b/>
            <sz val="9"/>
            <color indexed="81"/>
            <rFont val="Tahoma"/>
            <charset val="1"/>
          </rPr>
          <t>Andrew Huddleston:</t>
        </r>
        <r>
          <rPr>
            <sz val="9"/>
            <color indexed="81"/>
            <rFont val="Tahoma"/>
            <charset val="1"/>
          </rPr>
          <t xml:space="preserve">
Was not included in Zach's initial rollup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Huddleston</author>
    <author>tc={6757526E-A222-48AB-BEB1-FC3E97F35A98}</author>
    <author>USACE</author>
  </authors>
  <commentList>
    <comment ref="A3" authorId="0" shapeId="0" xr:uid="{B74F9AD5-0673-4DAB-BAE4-8C505D925D42}">
      <text>
        <r>
          <rPr>
            <b/>
            <sz val="9"/>
            <color indexed="81"/>
            <rFont val="Tahoma"/>
            <family val="2"/>
          </rPr>
          <t>Andrew Huddleston:</t>
        </r>
        <r>
          <rPr>
            <sz val="9"/>
            <color indexed="81"/>
            <rFont val="Tahoma"/>
            <family val="2"/>
          </rPr>
          <t xml:space="preserve">
NRMA=NRM Assessment, unpaved and paved road mileage on all USACE OWNED roadways</t>
        </r>
      </text>
    </comment>
    <comment ref="A4" authorId="0" shapeId="0" xr:uid="{28B960FD-D900-4A4C-A9A4-0F1AFBC925E0}">
      <text>
        <r>
          <rPr>
            <b/>
            <sz val="9"/>
            <color indexed="81"/>
            <rFont val="Tahoma"/>
            <family val="2"/>
          </rPr>
          <t>Andrew Huddleston:</t>
        </r>
        <r>
          <rPr>
            <sz val="9"/>
            <color indexed="81"/>
            <rFont val="Tahoma"/>
            <family val="2"/>
          </rPr>
          <t xml:space="preserve">
20 miles recorded per hour</t>
        </r>
      </text>
    </comment>
    <comment ref="A6" authorId="1" shapeId="0" xr:uid="{6757526E-A222-48AB-BEB1-FC3E97F35A98}">
      <text>
        <t>[Threaded comment]
Your version of Excel allows you to read this threaded comment; however, any edits to it will get removed if the file is opened in a newer version of Excel. Learn more: https://go.microsoft.com/fwlink/?linkid=870924
Comment:
    Makes up for potential unrecorded mileage</t>
      </text>
    </comment>
    <comment ref="A11" authorId="0" shapeId="0" xr:uid="{1E04DE12-32A9-4B87-A80F-F149BF8BE6C3}">
      <text>
        <r>
          <rPr>
            <b/>
            <sz val="9"/>
            <color indexed="81"/>
            <rFont val="Tahoma"/>
            <family val="2"/>
          </rPr>
          <t>Andrew Huddleston:</t>
        </r>
        <r>
          <rPr>
            <sz val="9"/>
            <color indexed="81"/>
            <rFont val="Tahoma"/>
            <family val="2"/>
          </rPr>
          <t xml:space="preserve">
10 parking lots recorded per hour</t>
        </r>
      </text>
    </comment>
    <comment ref="A21" authorId="2" shapeId="0" xr:uid="{74DF258E-0EBF-48F2-BFDC-70DBFC25BFEF}">
      <text>
        <r>
          <rPr>
            <b/>
            <sz val="9"/>
            <color indexed="81"/>
            <rFont val="Tahoma"/>
            <family val="2"/>
          </rPr>
          <t>USACE:</t>
        </r>
        <r>
          <rPr>
            <sz val="9"/>
            <color indexed="81"/>
            <rFont val="Tahoma"/>
            <family val="2"/>
          </rPr>
          <t xml:space="preserve">
Project count from FY20 NRMA.</t>
        </r>
      </text>
    </comment>
    <comment ref="A24" authorId="2" shapeId="0" xr:uid="{BC354DDB-7125-434C-A27C-2CBC6E1928DE}">
      <text>
        <r>
          <rPr>
            <b/>
            <sz val="9"/>
            <color indexed="81"/>
            <rFont val="Tahoma"/>
            <family val="2"/>
          </rPr>
          <t>USACE:</t>
        </r>
        <r>
          <rPr>
            <sz val="9"/>
            <color indexed="81"/>
            <rFont val="Tahoma"/>
            <family val="2"/>
          </rPr>
          <t xml:space="preserve">
this comes directly from travel estimator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Huddleston</author>
    <author>tc={E27DAB32-3075-4675-A7BC-222975A77CFB}</author>
    <author>tc={705AE2BA-9F67-4D93-83E5-B1ADD4BCABBC}</author>
    <author>USACE</author>
  </authors>
  <commentList>
    <comment ref="A3" authorId="0" shapeId="0" xr:uid="{81BC1807-BFC8-4DBE-B021-F7E7EBBD2DFC}">
      <text>
        <r>
          <rPr>
            <b/>
            <sz val="9"/>
            <color indexed="81"/>
            <rFont val="Tahoma"/>
            <family val="2"/>
          </rPr>
          <t>Andrew Huddleston:</t>
        </r>
        <r>
          <rPr>
            <sz val="9"/>
            <color indexed="81"/>
            <rFont val="Tahoma"/>
            <family val="2"/>
          </rPr>
          <t xml:space="preserve">
NRMA=NRM Assessment, unpaved and paved road mileage on all USACE OWNED roadways</t>
        </r>
      </text>
    </comment>
    <comment ref="A4" authorId="1" shapeId="0" xr:uid="{E27DAB32-3075-4675-A7BC-222975A77CFB}">
      <text>
        <t>[Threaded comment]
Your version of Excel allows you to read this threaded comment; however, any edits to it will get removed if the file is opened in a newer version of Excel. Learn more: https://go.microsoft.com/fwlink/?linkid=870924
Comment:
    Need to hone in the rate of road collection...how many road miles can be collected in 1 hour?</t>
      </text>
    </comment>
    <comment ref="A16" authorId="2" shapeId="0" xr:uid="{705AE2BA-9F67-4D93-83E5-B1ADD4BCABBC}">
      <text>
        <t>[Threaded comment]
Your version of Excel allows you to read this threaded comment; however, any edits to it will get removed if the file is opened in a newer version of Excel. Learn more: https://go.microsoft.com/fwlink/?linkid=870924
Comment:
    Includes: Shelters, Campsites, and Picnic Sites</t>
      </text>
    </comment>
    <comment ref="A18" authorId="0" shapeId="0" xr:uid="{4B29A762-969A-4982-8BAD-E384367EDC60}">
      <text>
        <r>
          <rPr>
            <b/>
            <sz val="9"/>
            <color indexed="81"/>
            <rFont val="Tahoma"/>
            <family val="2"/>
          </rPr>
          <t>Andrew Huddleston:</t>
        </r>
        <r>
          <rPr>
            <sz val="9"/>
            <color indexed="81"/>
            <rFont val="Tahoma"/>
            <family val="2"/>
          </rPr>
          <t xml:space="preserve">
30 campsites/shelters/picnic sites per hour</t>
        </r>
      </text>
    </comment>
    <comment ref="A28" authorId="3" shapeId="0" xr:uid="{00000000-0006-0000-0100-000001000000}">
      <text>
        <r>
          <rPr>
            <b/>
            <sz val="9"/>
            <color indexed="81"/>
            <rFont val="Tahoma"/>
            <family val="2"/>
          </rPr>
          <t>USACE:</t>
        </r>
        <r>
          <rPr>
            <sz val="9"/>
            <color indexed="81"/>
            <rFont val="Tahoma"/>
            <family val="2"/>
          </rPr>
          <t xml:space="preserve">
Project count from FY20 NRMA.</t>
        </r>
      </text>
    </comment>
    <comment ref="A31" authorId="3" shapeId="0" xr:uid="{00000000-0006-0000-0100-000004000000}">
      <text>
        <r>
          <rPr>
            <b/>
            <sz val="9"/>
            <color indexed="81"/>
            <rFont val="Tahoma"/>
            <family val="2"/>
          </rPr>
          <t>USACE:</t>
        </r>
        <r>
          <rPr>
            <sz val="9"/>
            <color indexed="81"/>
            <rFont val="Tahoma"/>
            <family val="2"/>
          </rPr>
          <t xml:space="preserve">
this comes directly from travel estimator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Huddleston</author>
    <author>USACE</author>
  </authors>
  <commentList>
    <comment ref="A21" authorId="0" shapeId="0" xr:uid="{08D3B83D-E8C7-453E-AC97-6F62090DFF03}">
      <text>
        <r>
          <rPr>
            <b/>
            <sz val="9"/>
            <color indexed="81"/>
            <rFont val="Tahoma"/>
            <charset val="1"/>
          </rPr>
          <t>Andrew Huddleston:</t>
        </r>
        <r>
          <rPr>
            <sz val="9"/>
            <color indexed="81"/>
            <rFont val="Tahoma"/>
            <charset val="1"/>
          </rPr>
          <t xml:space="preserve">
This includes intro, pre, and post meetings with dist and proj staff</t>
        </r>
      </text>
    </comment>
    <comment ref="A23" authorId="0" shapeId="0" xr:uid="{0B8BE8E2-9064-481E-8044-7B304AD931EB}">
      <text>
        <r>
          <rPr>
            <b/>
            <sz val="9"/>
            <color indexed="81"/>
            <rFont val="Tahoma"/>
            <charset val="1"/>
          </rPr>
          <t>Andrew Huddleston:</t>
        </r>
        <r>
          <rPr>
            <sz val="9"/>
            <color indexed="81"/>
            <rFont val="Tahoma"/>
            <charset val="1"/>
          </rPr>
          <t xml:space="preserve">
Pulled from time estimator</t>
        </r>
      </text>
    </comment>
    <comment ref="A29" authorId="1" shapeId="0" xr:uid="{00000000-0006-0000-0200-000001000000}">
      <text>
        <r>
          <rPr>
            <b/>
            <sz val="9"/>
            <color indexed="81"/>
            <rFont val="Tahoma"/>
            <family val="2"/>
          </rPr>
          <t>USACE:</t>
        </r>
        <r>
          <rPr>
            <sz val="9"/>
            <color indexed="81"/>
            <rFont val="Tahoma"/>
            <family val="2"/>
          </rPr>
          <t xml:space="preserve">
est $50 per week</t>
        </r>
      </text>
    </comment>
    <comment ref="A32" authorId="0" shapeId="0" xr:uid="{9131A3C3-2354-4762-9988-25719C81B0E6}">
      <text>
        <r>
          <rPr>
            <b/>
            <sz val="9"/>
            <color indexed="81"/>
            <rFont val="Tahoma"/>
            <family val="2"/>
          </rPr>
          <t>Andrew Huddleston:</t>
        </r>
        <r>
          <rPr>
            <sz val="9"/>
            <color indexed="81"/>
            <rFont val="Tahoma"/>
            <family val="2"/>
          </rPr>
          <t xml:space="preserve">
5 cars $100/week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Andrew Huddleston</author>
  </authors>
  <commentList>
    <comment ref="F201" authorId="0" shapeId="0" xr:uid="{7FDE2CAA-662E-4C52-9B7F-8C44E3E15E65}">
      <text>
        <r>
          <rPr>
            <b/>
            <sz val="9"/>
            <color indexed="81"/>
            <rFont val="Tahoma"/>
            <charset val="1"/>
          </rPr>
          <t>Andrew Huddleston:</t>
        </r>
        <r>
          <rPr>
            <sz val="9"/>
            <color indexed="81"/>
            <rFont val="Tahoma"/>
            <charset val="1"/>
          </rPr>
          <t xml:space="preserve">
Campsites NOT in R1S</t>
        </r>
      </text>
    </comment>
    <comment ref="G201" authorId="0" shapeId="0" xr:uid="{BFC595F5-A86C-432E-842A-5F7F5D4C0FBA}">
      <text>
        <r>
          <rPr>
            <b/>
            <sz val="9"/>
            <color indexed="81"/>
            <rFont val="Tahoma"/>
            <charset val="1"/>
          </rPr>
          <t>Andrew Huddleston:</t>
        </r>
        <r>
          <rPr>
            <sz val="9"/>
            <color indexed="81"/>
            <rFont val="Tahoma"/>
            <charset val="1"/>
          </rPr>
          <t xml:space="preserve">
Shelters NOT in R1S</t>
        </r>
      </text>
    </comment>
    <comment ref="H201" authorId="0" shapeId="0" xr:uid="{EAE5791C-CAB0-43F9-89B5-C5DCD2CAAC5A}">
      <text>
        <r>
          <rPr>
            <b/>
            <sz val="9"/>
            <color indexed="81"/>
            <rFont val="Tahoma"/>
            <charset val="1"/>
          </rPr>
          <t>Andrew Huddleston:</t>
        </r>
        <r>
          <rPr>
            <sz val="9"/>
            <color indexed="81"/>
            <rFont val="Tahoma"/>
            <charset val="1"/>
          </rPr>
          <t xml:space="preserve">
Picnic Sites NOT in R1S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Huddleston, Andrew J CIV USARMY CENWS (USA)</author>
    <author>Andrew Huddleston</author>
  </authors>
  <commentList>
    <comment ref="C2" authorId="0" shapeId="0" xr:uid="{85B89532-692C-4EA7-A54D-1424EB60BB77}">
      <text>
        <r>
          <rPr>
            <b/>
            <sz val="9"/>
            <color indexed="81"/>
            <rFont val="Tahoma"/>
            <family val="2"/>
          </rPr>
          <t>Huddleston, Andrew J CIV USARMY CENWS (USA):</t>
        </r>
        <r>
          <rPr>
            <sz val="9"/>
            <color indexed="81"/>
            <rFont val="Tahoma"/>
            <family val="2"/>
          </rPr>
          <t xml:space="preserve">
TOTAL PSA's, USACE managed PSA's is much less</t>
        </r>
      </text>
    </comment>
    <comment ref="M2" authorId="1" shapeId="0" xr:uid="{6BC43DDC-3B69-4B69-BFA1-F7804892BCC5}">
      <text>
        <r>
          <rPr>
            <b/>
            <sz val="9"/>
            <color indexed="81"/>
            <rFont val="Tahoma"/>
            <family val="2"/>
          </rPr>
          <t>Andrew Huddleston:</t>
        </r>
        <r>
          <rPr>
            <sz val="9"/>
            <color indexed="81"/>
            <rFont val="Tahoma"/>
            <family val="2"/>
          </rPr>
          <t xml:space="preserve">
2 ppl per vehicle…11 ppl on the team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Andrew Huddleston</author>
  </authors>
  <commentList>
    <comment ref="I5" authorId="0" shapeId="0" xr:uid="{6D7732D1-E37B-4AD8-A9DE-542EDF8008B8}">
      <text>
        <r>
          <rPr>
            <b/>
            <sz val="9"/>
            <color indexed="81"/>
            <rFont val="Tahoma"/>
            <family val="2"/>
          </rPr>
          <t>Andrew Huddleston:</t>
        </r>
        <r>
          <rPr>
            <sz val="9"/>
            <color indexed="81"/>
            <rFont val="Tahoma"/>
            <family val="2"/>
          </rPr>
          <t xml:space="preserve">
Service and Public Paved</t>
        </r>
      </text>
    </comment>
    <comment ref="J5" authorId="0" shapeId="0" xr:uid="{0718DB98-B145-416A-89B4-6D615192EEBC}">
      <text>
        <r>
          <rPr>
            <b/>
            <sz val="9"/>
            <color indexed="81"/>
            <rFont val="Tahoma"/>
            <family val="2"/>
          </rPr>
          <t>Andrew Huddleston:</t>
        </r>
        <r>
          <rPr>
            <sz val="9"/>
            <color indexed="81"/>
            <rFont val="Tahoma"/>
            <family val="2"/>
          </rPr>
          <t xml:space="preserve">
Service and Public Unpaved</t>
        </r>
      </text>
    </comment>
    <comment ref="B10" authorId="0" shapeId="0" xr:uid="{B7BDB72D-8EC0-4B72-A23F-89B1C0E5658F}">
      <text>
        <r>
          <rPr>
            <b/>
            <sz val="9"/>
            <color indexed="81"/>
            <rFont val="Tahoma"/>
            <charset val="1"/>
          </rPr>
          <t>Andrew Huddleston:</t>
        </r>
        <r>
          <rPr>
            <sz val="9"/>
            <color indexed="81"/>
            <rFont val="Tahoma"/>
            <charset val="1"/>
          </rPr>
          <t xml:space="preserve">
Was not included in Zach's initial rollup</t>
        </r>
      </text>
    </comment>
  </commentList>
</comments>
</file>

<file path=xl/sharedStrings.xml><?xml version="1.0" encoding="utf-8"?>
<sst xmlns="http://schemas.openxmlformats.org/spreadsheetml/2006/main" count="1110" uniqueCount="441">
  <si>
    <t>Labor Categories</t>
  </si>
  <si>
    <t>Total Hrs</t>
  </si>
  <si>
    <t>Rate</t>
  </si>
  <si>
    <t>Total</t>
  </si>
  <si>
    <t>Cost</t>
  </si>
  <si>
    <t xml:space="preserve">Tasks </t>
  </si>
  <si>
    <t>Hours</t>
  </si>
  <si>
    <t xml:space="preserve"> </t>
  </si>
  <si>
    <t>Cost by Task</t>
  </si>
  <si>
    <t>Hours by Task</t>
  </si>
  <si>
    <t>Materials</t>
  </si>
  <si>
    <t>Travel</t>
  </si>
  <si>
    <t xml:space="preserve">Prepared by: </t>
  </si>
  <si>
    <t xml:space="preserve">Approved by: </t>
  </si>
  <si>
    <t>____________________________________</t>
  </si>
  <si>
    <t>Contract Number TBD</t>
  </si>
  <si>
    <t>For Official Use Only (FOUO)</t>
  </si>
  <si>
    <t>Official Government Estimate</t>
  </si>
  <si>
    <t>Ops-Log Planning</t>
  </si>
  <si>
    <t>Team Leader</t>
  </si>
  <si>
    <t>Program Manager</t>
  </si>
  <si>
    <t>Sr Program Manager</t>
  </si>
  <si>
    <t>Roads</t>
  </si>
  <si>
    <t>Estimated time</t>
  </si>
  <si>
    <t>20% contingency</t>
  </si>
  <si>
    <t>Parking Lots</t>
  </si>
  <si>
    <t>Rate per hour</t>
  </si>
  <si>
    <t>Campsites</t>
  </si>
  <si>
    <t>Other features (point only)</t>
  </si>
  <si>
    <t>TASK</t>
  </si>
  <si>
    <t>Weeks of data collection</t>
  </si>
  <si>
    <t>Budget Analyst</t>
  </si>
  <si>
    <t>Admin Assistant</t>
  </si>
  <si>
    <t>Crew member/Intern</t>
  </si>
  <si>
    <t>Grant Manager:</t>
  </si>
  <si>
    <t>est weeks</t>
  </si>
  <si>
    <t>Assume mixed gender so three rooms needed</t>
  </si>
  <si>
    <t># Projects with 1-10 PSAs</t>
  </si>
  <si>
    <t># Projects with 50+ PSAs</t>
  </si>
  <si>
    <t>Proj Count</t>
  </si>
  <si>
    <t>Nights of lodging needed</t>
  </si>
  <si>
    <t>Use perdiem to help estimate hotel costs in region</t>
  </si>
  <si>
    <t>Hotel rate in region</t>
  </si>
  <si>
    <t>Rental Car cost</t>
  </si>
  <si>
    <t>Total Travel</t>
  </si>
  <si>
    <t>Round Up</t>
  </si>
  <si>
    <t>30% Contingency</t>
  </si>
  <si>
    <t>Rental Car Gas</t>
  </si>
  <si>
    <t>Est Lodging/rental costs</t>
  </si>
  <si>
    <t>Utilities</t>
  </si>
  <si>
    <t>Total estimated time (hours)</t>
  </si>
  <si>
    <t>Project Count</t>
  </si>
  <si>
    <t>Data collection + 10% Conservation Project Time</t>
  </si>
  <si>
    <t>Estimated hours</t>
  </si>
  <si>
    <t>Adjusted estimated hours</t>
  </si>
  <si>
    <t>The difference from the travel estimator is allowed as a logistical contingency.  The location of projects will impact the pace and quantity of data collection</t>
  </si>
  <si>
    <t>PWS Title: Conservation/Recreation Interns to Perform Recreational Road Inventories</t>
  </si>
  <si>
    <t>NWK</t>
  </si>
  <si>
    <t>MVS</t>
  </si>
  <si>
    <t>LRL</t>
  </si>
  <si>
    <t>LRH</t>
  </si>
  <si>
    <t>NWO</t>
  </si>
  <si>
    <t>LRP</t>
  </si>
  <si>
    <t>MVR</t>
  </si>
  <si>
    <t>MVP</t>
  </si>
  <si>
    <t>SAS</t>
  </si>
  <si>
    <t>2a</t>
  </si>
  <si>
    <t>2b</t>
  </si>
  <si>
    <t>2c</t>
  </si>
  <si>
    <t>2d</t>
  </si>
  <si>
    <t>2e</t>
  </si>
  <si>
    <t>2f</t>
  </si>
  <si>
    <t>2g</t>
  </si>
  <si>
    <t>2h</t>
  </si>
  <si>
    <t>TOTAL:</t>
  </si>
  <si>
    <t>Enterprise lease program $175/week/vehicle (Sedan/SUV) 2 ppl per vehicle</t>
  </si>
  <si>
    <t>1 hour per PSA/1 day per project</t>
  </si>
  <si>
    <t>District</t>
  </si>
  <si>
    <t>FY22-23:</t>
  </si>
  <si>
    <t>Kansas City</t>
  </si>
  <si>
    <t>Omaha</t>
  </si>
  <si>
    <t>Seattle</t>
  </si>
  <si>
    <t>Walla Walla</t>
  </si>
  <si>
    <t>FY23:</t>
  </si>
  <si>
    <t>Crew = 10</t>
  </si>
  <si>
    <t>Assume 25% of time can get project lodging</t>
  </si>
  <si>
    <t>Albuquerque (SPA)</t>
  </si>
  <si>
    <t>Chicago (LRC)</t>
  </si>
  <si>
    <t>Galveston (SWG)</t>
  </si>
  <si>
    <t>Huntington (LRH)</t>
  </si>
  <si>
    <t>Jacksonville (SAJ)</t>
  </si>
  <si>
    <t>Los Angeles (SPL)</t>
  </si>
  <si>
    <t>New England (NAE)</t>
  </si>
  <si>
    <t>New Orleans (MVN)</t>
  </si>
  <si>
    <t>Philadelphia (NAP)</t>
  </si>
  <si>
    <t>Pittsburgh (LRP)</t>
  </si>
  <si>
    <t>Rock Island (MVR)</t>
  </si>
  <si>
    <t>San Francisco (SPN)</t>
  </si>
  <si>
    <t>Savannah (SAS)</t>
  </si>
  <si>
    <t>St. Paul (MVP)</t>
  </si>
  <si>
    <t>NWS</t>
  </si>
  <si>
    <t>Paved/Unpaved miles from NRMA</t>
  </si>
  <si>
    <t>Count from NRMA</t>
  </si>
  <si>
    <t>Total Count from NRMA</t>
  </si>
  <si>
    <t>NWW</t>
  </si>
  <si>
    <t>SPL</t>
  </si>
  <si>
    <t>SPA</t>
  </si>
  <si>
    <t>SWG</t>
  </si>
  <si>
    <t>MVN</t>
  </si>
  <si>
    <t>SAJ</t>
  </si>
  <si>
    <t>NAE</t>
  </si>
  <si>
    <t>SPN</t>
  </si>
  <si>
    <t>NAP</t>
  </si>
  <si>
    <t>LRC</t>
  </si>
  <si>
    <t>Projects</t>
  </si>
  <si>
    <t>Clinton Lake</t>
  </si>
  <si>
    <t>Harlan Lake</t>
  </si>
  <si>
    <t>Harry S. Truman</t>
  </si>
  <si>
    <t>Hillsdale</t>
  </si>
  <si>
    <t>Kanopolis</t>
  </si>
  <si>
    <t>Little Blue River</t>
  </si>
  <si>
    <t>Long Branch</t>
  </si>
  <si>
    <t>Milford Lake</t>
  </si>
  <si>
    <t>Perry Lake</t>
  </si>
  <si>
    <t>Pomme De Terre</t>
  </si>
  <si>
    <t>Pomona Lake</t>
  </si>
  <si>
    <t>Smithville Lake</t>
  </si>
  <si>
    <t>Stockton Lake</t>
  </si>
  <si>
    <t>Tuttle Creek</t>
  </si>
  <si>
    <t>Wilson Lake</t>
  </si>
  <si>
    <t>Big Bend Dam</t>
  </si>
  <si>
    <t>Cold Brook Lake</t>
  </si>
  <si>
    <t>Cottonwood Springs</t>
  </si>
  <si>
    <t>Fort Randall</t>
  </si>
  <si>
    <t>Fort Peck</t>
  </si>
  <si>
    <t>Garrison Dam</t>
  </si>
  <si>
    <t>Gavins Point</t>
  </si>
  <si>
    <t>Oahe Dam</t>
  </si>
  <si>
    <t>Pipestem Lake</t>
  </si>
  <si>
    <t>Albeni Falls Dam</t>
  </si>
  <si>
    <t>Chief Joseph Dam</t>
  </si>
  <si>
    <t>Mud Mountain</t>
  </si>
  <si>
    <t>Ballard Locks</t>
  </si>
  <si>
    <t>Libby Dam</t>
  </si>
  <si>
    <t>Dworshak</t>
  </si>
  <si>
    <t>Ice Harbor</t>
  </si>
  <si>
    <t>Little Goose</t>
  </si>
  <si>
    <t>Lower Granite</t>
  </si>
  <si>
    <t>Lower Monumental</t>
  </si>
  <si>
    <t>Lucky Peak</t>
  </si>
  <si>
    <t>McNary Lock and Dam</t>
  </si>
  <si>
    <t>Sepulveda Dam</t>
  </si>
  <si>
    <t>Abiquiu Dam</t>
  </si>
  <si>
    <t>Cochiti Lake</t>
  </si>
  <si>
    <t>Conchas Lake</t>
  </si>
  <si>
    <t>Galisteo Dam</t>
  </si>
  <si>
    <t>Two Rivers Dam</t>
  </si>
  <si>
    <t>John Martin Resevoir</t>
  </si>
  <si>
    <t>Santa Rosa Dam</t>
  </si>
  <si>
    <t>Buffalo Bayou</t>
  </si>
  <si>
    <t>Wallisville Lake</t>
  </si>
  <si>
    <t>Atch Basin Floodway</t>
  </si>
  <si>
    <t>Bonnet Carre Spillway</t>
  </si>
  <si>
    <t>Old River</t>
  </si>
  <si>
    <t>Port Allen</t>
  </si>
  <si>
    <t>Hartwell Dam</t>
  </si>
  <si>
    <t>J Strom Thurmond Dam</t>
  </si>
  <si>
    <t>Richard B. Russel Dam</t>
  </si>
  <si>
    <t>Central and South FL</t>
  </si>
  <si>
    <t>Okeechobee Waterway</t>
  </si>
  <si>
    <t>Barre Falls Dam</t>
  </si>
  <si>
    <t>Black Rock Lake</t>
  </si>
  <si>
    <t>Blackwater Dam</t>
  </si>
  <si>
    <t>Birch Hill Dam</t>
  </si>
  <si>
    <t>Buffumville Lake</t>
  </si>
  <si>
    <t>Cape Cod Canal</t>
  </si>
  <si>
    <t>Charles River</t>
  </si>
  <si>
    <t>Colebrooke River Lake</t>
  </si>
  <si>
    <t>Conant Brook Dam</t>
  </si>
  <si>
    <t>East Brimfield Dam</t>
  </si>
  <si>
    <t>Edward MacDowell Lake</t>
  </si>
  <si>
    <t>Franklin Falls Dam</t>
  </si>
  <si>
    <t>Hancock Brook Lake</t>
  </si>
  <si>
    <t>Hodges Village Dam</t>
  </si>
  <si>
    <t>Hop Brook Lake</t>
  </si>
  <si>
    <t>Hopkinton Everett Lake</t>
  </si>
  <si>
    <t>Knightville Dam</t>
  </si>
  <si>
    <t>Littleville Lake</t>
  </si>
  <si>
    <t>Mansfield Hollow Lake</t>
  </si>
  <si>
    <t>North Hartland Lake</t>
  </si>
  <si>
    <t>North Springfield Lake</t>
  </si>
  <si>
    <t>Northfield Brook Lake</t>
  </si>
  <si>
    <t>Otter Brook Lake</t>
  </si>
  <si>
    <t>Surry Mountain Lake</t>
  </si>
  <si>
    <t>Townshend Lake</t>
  </si>
  <si>
    <t>Tully Lake</t>
  </si>
  <si>
    <t>Union Village Dam</t>
  </si>
  <si>
    <t>West Hill Dam</t>
  </si>
  <si>
    <t>West Thompson Lake</t>
  </si>
  <si>
    <t>Westville Lake</t>
  </si>
  <si>
    <t>Thomaston Dam</t>
  </si>
  <si>
    <t>Alum Creek Lake</t>
  </si>
  <si>
    <t>Atwood Lake</t>
  </si>
  <si>
    <t>Beach City Lake</t>
  </si>
  <si>
    <t>Beech Fork Lake</t>
  </si>
  <si>
    <t>Belleville Lock</t>
  </si>
  <si>
    <t>Bluestone Lake</t>
  </si>
  <si>
    <t>Bolivar Dam</t>
  </si>
  <si>
    <t>Burnsville Lake</t>
  </si>
  <si>
    <t>Capt. Anthony Meldahl</t>
  </si>
  <si>
    <t>Charles Mill Lake</t>
  </si>
  <si>
    <t>Deer Creek Lake</t>
  </si>
  <si>
    <t>Delaware Lake</t>
  </si>
  <si>
    <t>Dewey Lake</t>
  </si>
  <si>
    <t>Dillon Lake</t>
  </si>
  <si>
    <t>Dover Dam</t>
  </si>
  <si>
    <t>East Lynn Lake</t>
  </si>
  <si>
    <t>Fishtrap Lake</t>
  </si>
  <si>
    <t>Grayson Lake</t>
  </si>
  <si>
    <t>Greenup Lock</t>
  </si>
  <si>
    <t>John Flannagan Dam</t>
  </si>
  <si>
    <t>London Lock</t>
  </si>
  <si>
    <t>Marmet Lock</t>
  </si>
  <si>
    <t>Mohicanville Dam</t>
  </si>
  <si>
    <t>NB Kokosing River Lake</t>
  </si>
  <si>
    <t>NF of Pound Lake</t>
  </si>
  <si>
    <t>Paint Creek Lake</t>
  </si>
  <si>
    <t>Paintsville Lake</t>
  </si>
  <si>
    <t>Pleasant Hill Lake</t>
  </si>
  <si>
    <t>RD Bailey Lake</t>
  </si>
  <si>
    <t>Racine Lock</t>
  </si>
  <si>
    <t>Robert Byrd Lock</t>
  </si>
  <si>
    <t>Summersville Lake</t>
  </si>
  <si>
    <t>Sutton Lake</t>
  </si>
  <si>
    <t>Tappan Lake</t>
  </si>
  <si>
    <t>Tom Jenkins Dam</t>
  </si>
  <si>
    <t>Willow Island Lock</t>
  </si>
  <si>
    <t>Wills Creek Lake</t>
  </si>
  <si>
    <t>Yatesville Lake</t>
  </si>
  <si>
    <t>Winfield Lock</t>
  </si>
  <si>
    <t>Berlin Lake</t>
  </si>
  <si>
    <t>Conemaugh River Lake</t>
  </si>
  <si>
    <t>Crooked Creek Lake</t>
  </si>
  <si>
    <t>E. Branch Clarion Lake</t>
  </si>
  <si>
    <t>Hannibal Locks</t>
  </si>
  <si>
    <t>Kinzua and Allegheny Resevoir</t>
  </si>
  <si>
    <t>Loyalhanna Lake</t>
  </si>
  <si>
    <t>Mahoning Creek Lake</t>
  </si>
  <si>
    <t>Mosquito Creek Lake</t>
  </si>
  <si>
    <t>New Cumberland Locks and Dam</t>
  </si>
  <si>
    <t>Pike Island Locks and Dam</t>
  </si>
  <si>
    <t>Shenango River Lake</t>
  </si>
  <si>
    <t>Stonewall Jackson Lake</t>
  </si>
  <si>
    <t>Tionesta Lake</t>
  </si>
  <si>
    <t>Tygart Lake</t>
  </si>
  <si>
    <t>Union City Lake</t>
  </si>
  <si>
    <t>Woodcock Creek</t>
  </si>
  <si>
    <t>Youghigheny River Lake</t>
  </si>
  <si>
    <t>Lake Mendocino</t>
  </si>
  <si>
    <t>Lake Sonoma</t>
  </si>
  <si>
    <t>San Francisco Bay</t>
  </si>
  <si>
    <t>Beltzville Lake</t>
  </si>
  <si>
    <t>Blue Marsh Lake</t>
  </si>
  <si>
    <t>Francis Walter Dam</t>
  </si>
  <si>
    <t>Prompton Lake</t>
  </si>
  <si>
    <t>J. Edward Roush Lake</t>
  </si>
  <si>
    <t>Mississinewa Lake</t>
  </si>
  <si>
    <t>Salamonite Lake</t>
  </si>
  <si>
    <t>Sturgeon Bay</t>
  </si>
  <si>
    <t>Cross Lake</t>
  </si>
  <si>
    <t>Eau Galle River Lake</t>
  </si>
  <si>
    <t>Gull Lake</t>
  </si>
  <si>
    <t>Lac Qui Parle Lakes</t>
  </si>
  <si>
    <t>Lake Ashtabula</t>
  </si>
  <si>
    <t>Lake Traverse</t>
  </si>
  <si>
    <t>Leech Lake</t>
  </si>
  <si>
    <t>Mississippi River</t>
  </si>
  <si>
    <t>Orwell Lake</t>
  </si>
  <si>
    <t>Pokegema Lake</t>
  </si>
  <si>
    <t>Sandy Lake Resevoir</t>
  </si>
  <si>
    <t>Winnibigosh Lake</t>
  </si>
  <si>
    <t>Coraville Lake</t>
  </si>
  <si>
    <t>Illinois Waterway</t>
  </si>
  <si>
    <t>Red Rock Dam</t>
  </si>
  <si>
    <t>Saylorville Lake</t>
  </si>
  <si>
    <t># Projects with 11-25 PSAs</t>
  </si>
  <si>
    <t># Projects with 26-50 PSAs</t>
  </si>
  <si>
    <t>11-25 psa/proj</t>
  </si>
  <si>
    <t>1-10 psa/proj</t>
  </si>
  <si>
    <t>26-50 psa/proj</t>
  </si>
  <si>
    <t>50+ psa/proj</t>
  </si>
  <si>
    <t>Hours/proj</t>
  </si>
  <si>
    <t>Est nights in paid housing x3 rooms</t>
  </si>
  <si>
    <t>Total Time for all features (Hours)</t>
  </si>
  <si>
    <t># Employee</t>
  </si>
  <si>
    <t xml:space="preserve">This estimate was generated using the estimated rates based on previous survey work. The estimates for the hours required for each task was developed based on information from government employees familiar with the level of effort as well as previously awarded contracts. This estimate was developed independently and prior to the receipt of any proposals. </t>
  </si>
  <si>
    <t>PWS Title: Conservation/Recreation Interns to Perform Recreational and Road Inventories</t>
  </si>
  <si>
    <t>Verification (Pre/Post)</t>
  </si>
  <si>
    <t># PSA's/Proj</t>
  </si>
  <si>
    <t>2021 Visitation</t>
  </si>
  <si>
    <t>Melvern Lake</t>
  </si>
  <si>
    <t>Ball Mountain Lake</t>
  </si>
  <si>
    <t>OCA Data Collection 
Additional Weeks</t>
  </si>
  <si>
    <t>Yes</t>
  </si>
  <si>
    <t>No</t>
  </si>
  <si>
    <t>5+ PSA's or &gt;400k vis</t>
  </si>
  <si>
    <t>Total PSA's</t>
  </si>
  <si>
    <t>Total Projects</t>
  </si>
  <si>
    <t>AVG PSA's</t>
  </si>
  <si>
    <t>AVG Visitation</t>
  </si>
  <si>
    <t>Revised Total Projects</t>
  </si>
  <si>
    <t>Mill Creek</t>
  </si>
  <si>
    <t>Revised Total PSA's</t>
  </si>
  <si>
    <t>Total Hours</t>
  </si>
  <si>
    <t>30 min travel between PSA's</t>
  </si>
  <si>
    <t>2.75 hours travel per project</t>
  </si>
  <si>
    <t>8 hours travel per project</t>
  </si>
  <si>
    <t>17 hours travel per project</t>
  </si>
  <si>
    <t>40 hours travel per project</t>
  </si>
  <si>
    <t>Total Hours of Travel Between PSA's and Projects</t>
  </si>
  <si>
    <t>Hours of Prep and Travel Between Districts</t>
  </si>
  <si>
    <t>Total Est Weeks of Prep and Travel</t>
  </si>
  <si>
    <t>Weeks of
data collection</t>
  </si>
  <si>
    <t>Total Weeks of Data and Travel</t>
  </si>
  <si>
    <t>Weeks in travel
estimator</t>
  </si>
  <si>
    <t>Total Weeks Per District</t>
  </si>
  <si>
    <t>Adjusted estimated weeks</t>
  </si>
  <si>
    <t>Adjusted estimated months</t>
  </si>
  <si>
    <t>Estimated months</t>
  </si>
  <si>
    <t>Estimated weeks</t>
  </si>
  <si>
    <t>Estimated cost</t>
  </si>
  <si>
    <t>Total Mileage</t>
  </si>
  <si>
    <t>Day Use
Car Spaces</t>
  </si>
  <si>
    <t>Full Capability - Anticipated - Add FHWA Request:</t>
  </si>
  <si>
    <t>Number of PSA's</t>
  </si>
  <si>
    <t>Developed
Single User Campsites</t>
  </si>
  <si>
    <t>Paved Miles</t>
  </si>
  <si>
    <t>Unpaved 
Miles</t>
  </si>
  <si>
    <t>Month of 
Completion</t>
  </si>
  <si>
    <t>$/month/rental car</t>
  </si>
  <si>
    <t>Number 
Rental Cars</t>
  </si>
  <si>
    <t>Rental Car Mo Cost</t>
  </si>
  <si>
    <t>~Hours per PSA</t>
  </si>
  <si>
    <t>~Days per Project</t>
  </si>
  <si>
    <t>FY22:</t>
  </si>
  <si>
    <t>Los Angeles</t>
  </si>
  <si>
    <t>OCT 22</t>
  </si>
  <si>
    <t>Albuquerque</t>
  </si>
  <si>
    <t>NOV 22</t>
  </si>
  <si>
    <t>Galveston</t>
  </si>
  <si>
    <t>DEC 22</t>
  </si>
  <si>
    <t>New Orleans</t>
  </si>
  <si>
    <t>JAN 23</t>
  </si>
  <si>
    <t>Savannah</t>
  </si>
  <si>
    <t>FEB 23</t>
  </si>
  <si>
    <t>Jacksonville</t>
  </si>
  <si>
    <t>New England</t>
  </si>
  <si>
    <t>Huntington</t>
  </si>
  <si>
    <t>MAY 23</t>
  </si>
  <si>
    <t>Pittsburgh</t>
  </si>
  <si>
    <t>JUNE 23</t>
  </si>
  <si>
    <t>San Francisco</t>
  </si>
  <si>
    <t>JULY 23</t>
  </si>
  <si>
    <t>Philadelphia</t>
  </si>
  <si>
    <t>Chicago</t>
  </si>
  <si>
    <t>St. Paul</t>
  </si>
  <si>
    <t>SEPT 23</t>
  </si>
  <si>
    <t>Rock Island</t>
  </si>
  <si>
    <t>TOTAL</t>
  </si>
  <si>
    <t>USACE FLTP Road Mileage Comparison</t>
  </si>
  <si>
    <t>Original Road Mileage/Dist</t>
  </si>
  <si>
    <t>SCA Road Mileage/Dist</t>
  </si>
  <si>
    <t>NRMA Road Mileage/Dist</t>
  </si>
  <si>
    <t>District:</t>
  </si>
  <si>
    <t>Road Mileage</t>
  </si>
  <si>
    <t>Difference</t>
  </si>
  <si>
    <t>Paved</t>
  </si>
  <si>
    <t>Unpaved</t>
  </si>
  <si>
    <t>SCA Actual Diff</t>
  </si>
  <si>
    <t>Alaska (POA)</t>
  </si>
  <si>
    <t>Baltimore (NAB)</t>
  </si>
  <si>
    <t>Buffalo (LRB)</t>
  </si>
  <si>
    <t>Detroit (LRE)</t>
  </si>
  <si>
    <t>Fort Worth (SWF)</t>
  </si>
  <si>
    <t>Honolulu (POH)</t>
  </si>
  <si>
    <t>Roads budget</t>
  </si>
  <si>
    <t>Kansas City (NWK)</t>
  </si>
  <si>
    <t>Little Rock (SWL)</t>
  </si>
  <si>
    <t>spent on roads alone</t>
  </si>
  <si>
    <t>Louisville (LRL)</t>
  </si>
  <si>
    <t>Mobile (SAM)</t>
  </si>
  <si>
    <t>Nashville (LRN)</t>
  </si>
  <si>
    <t>Omaha (NWO)</t>
  </si>
  <si>
    <t>Portland (NWP)</t>
  </si>
  <si>
    <t>Sacramento (SPK)</t>
  </si>
  <si>
    <t>Seattle (NWS)</t>
  </si>
  <si>
    <t>St. Louis (MVS)</t>
  </si>
  <si>
    <t>Tulsa (SWT)</t>
  </si>
  <si>
    <t>Vicksburg (MVK)</t>
  </si>
  <si>
    <t>Walla Walla (NWW)</t>
  </si>
  <si>
    <t>Wilmington (SAW)</t>
  </si>
  <si>
    <t>TOTALS</t>
  </si>
  <si>
    <t xml:space="preserve"> Aggressive Schedule</t>
  </si>
  <si>
    <t>Current Efforts</t>
  </si>
  <si>
    <t>FY 19-20</t>
  </si>
  <si>
    <t>FY 20-21</t>
  </si>
  <si>
    <t>FY 21-22</t>
  </si>
  <si>
    <t>Selection Critieria:</t>
  </si>
  <si>
    <t>Districts with most road mileage</t>
  </si>
  <si>
    <t>Finishing partially completed Districts (OCAs)</t>
  </si>
  <si>
    <t>Lumping Districts geographically</t>
  </si>
  <si>
    <t>N</t>
  </si>
  <si>
    <t>Rathbun Lake</t>
  </si>
  <si>
    <t>PSA's in R1S?</t>
  </si>
  <si>
    <t>Y</t>
  </si>
  <si>
    <t># Campsites in 
R1S</t>
  </si>
  <si>
    <t># Shelters in 
R1S</t>
  </si>
  <si>
    <t># Pic Sites in 
R1S</t>
  </si>
  <si>
    <t>Clendening Lake</t>
  </si>
  <si>
    <t>Michael Kirwan Dam</t>
  </si>
  <si>
    <t># PSA Assets NOT in R1S</t>
  </si>
  <si>
    <t>General REC (NOT in R1S)</t>
  </si>
  <si>
    <t>Trans/Lim REC</t>
  </si>
  <si>
    <t>Trans Lim REC</t>
  </si>
  <si>
    <t>Travel/Vehicles</t>
  </si>
  <si>
    <t>SEPT 22</t>
  </si>
  <si>
    <t>FY24:</t>
  </si>
  <si>
    <t>FY22 cost</t>
  </si>
  <si>
    <t>using costs through FY23</t>
  </si>
  <si>
    <t>Period of Performance to include the rest of districts</t>
  </si>
  <si>
    <t>MAR 23</t>
  </si>
  <si>
    <t>APR 23</t>
  </si>
  <si>
    <t>OCT 23</t>
  </si>
  <si>
    <t>NOV 23</t>
  </si>
  <si>
    <t>DEC 23</t>
  </si>
  <si>
    <t>AUG 23</t>
  </si>
  <si>
    <t>Cars = 5</t>
  </si>
  <si>
    <t># Weeks</t>
  </si>
  <si>
    <t xml:space="preserve">Disclaimer: This information is accurate to the best of the USACE's knowledge. There may be some increases or decreases based on what is found in the field. </t>
  </si>
  <si>
    <t>The difference from the travel estimator is allowed as a logistical contingency. The location of projects will impact the pace and quantity of data. collection</t>
  </si>
  <si>
    <t>Number Parking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</si>
</sst>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quot;$&quot;* #,##0_);_(&quot;$&quot;* \(#,##0\);_(&quot;$&quot;* &quot;-&quot;??_);_(@_)"/>
    <numFmt numFmtId="166" formatCode="&quot;$&quot;#,##0"/>
  </numFmts>
  <fonts count="32" x14ac:knownFonts="1">
    <font>
      <sz val="10"/>
      <name val="Arial"/>
    </font>
    <font>
      <sz val="8"/>
      <name val="Arial"/>
      <family val="2"/>
    </font>
    <font>
      <sz val="10"/>
      <name val="Arial"/>
      <family val="2"/>
    </font>
    <font>
      <sz val="10"/>
      <name val="Arial"/>
      <family val="2"/>
    </font>
    <font>
      <sz val="11"/>
      <name val="Times New Roman"/>
      <family val="1"/>
    </font>
    <font>
      <u/>
      <sz val="11"/>
      <name val="Times New Roman"/>
      <family val="1"/>
    </font>
    <font>
      <b/>
      <u/>
      <sz val="11"/>
      <name val="Times New Roman"/>
      <family val="1"/>
    </font>
    <font>
      <b/>
      <sz val="10"/>
      <name val="Arial"/>
      <family val="2"/>
    </font>
    <font>
      <b/>
      <u/>
      <sz val="10"/>
      <name val="Arial"/>
      <family val="2"/>
    </font>
    <font>
      <b/>
      <sz val="11"/>
      <name val="Arial"/>
      <family val="2"/>
    </font>
    <font>
      <sz val="9"/>
      <color indexed="81"/>
      <name val="Tahoma"/>
      <family val="2"/>
    </font>
    <font>
      <b/>
      <sz val="9"/>
      <color indexed="81"/>
      <name val="Tahoma"/>
      <family val="2"/>
    </font>
    <font>
      <sz val="10"/>
      <name val="Times New Roman"/>
      <family val="1"/>
    </font>
    <font>
      <sz val="11"/>
      <name val="Arial"/>
      <family val="2"/>
    </font>
    <font>
      <b/>
      <sz val="12"/>
      <name val="Arial"/>
      <family val="2"/>
    </font>
    <font>
      <sz val="10"/>
      <color rgb="FFFF0000"/>
      <name val="Arial"/>
      <family val="2"/>
    </font>
    <font>
      <sz val="10"/>
      <name val="Arial"/>
      <family val="2"/>
    </font>
    <font>
      <sz val="11"/>
      <color theme="1"/>
      <name val="Arial"/>
      <family val="2"/>
    </font>
    <font>
      <b/>
      <sz val="11"/>
      <color theme="1"/>
      <name val="Arial"/>
      <family val="2"/>
    </font>
    <font>
      <b/>
      <sz val="11"/>
      <name val="Times New Roman"/>
      <family val="1"/>
    </font>
    <font>
      <sz val="9"/>
      <color indexed="81"/>
      <name val="Tahoma"/>
      <charset val="1"/>
    </font>
    <font>
      <b/>
      <sz val="9"/>
      <color indexed="81"/>
      <name val="Tahoma"/>
      <charset val="1"/>
    </font>
    <font>
      <b/>
      <u/>
      <sz val="11"/>
      <color theme="1"/>
      <name val="Arial"/>
      <family val="2"/>
    </font>
    <font>
      <b/>
      <sz val="11"/>
      <color theme="1"/>
      <name val="Calibri"/>
      <family val="2"/>
      <scheme val="minor"/>
    </font>
    <font>
      <u/>
      <sz val="11"/>
      <color theme="1"/>
      <name val="Arial"/>
      <family val="2"/>
    </font>
    <font>
      <b/>
      <u/>
      <sz val="11"/>
      <color theme="1"/>
      <name val="Calibri"/>
      <family val="2"/>
      <scheme val="minor"/>
    </font>
    <font>
      <u/>
      <sz val="11"/>
      <color theme="1"/>
      <name val="Calibri"/>
      <family val="2"/>
      <scheme val="minor"/>
    </font>
    <font>
      <b/>
      <u/>
      <sz val="14"/>
      <color theme="1"/>
      <name val="Arial"/>
      <family val="2"/>
    </font>
    <font>
      <i/>
      <sz val="11"/>
      <color theme="1"/>
      <name val="Arial"/>
      <family val="2"/>
    </font>
    <font>
      <sz val="8"/>
      <name val="Arial"/>
    </font>
    <font>
      <b/>
      <sz val="11"/>
      <color rgb="FFFF0000"/>
      <name val="Times New Roman"/>
      <family val="1"/>
    </font>
    <font>
      <u/>
      <sz val="10"/>
      <name val="Arial"/>
      <family val="2"/>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F47B78"/>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14999847407452621"/>
        <bgColor indexed="64"/>
      </patternFill>
    </fill>
  </fills>
  <borders count="2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ck">
        <color rgb="FFFF0000"/>
      </left>
      <right style="thick">
        <color rgb="FFFF0000"/>
      </right>
      <top style="thick">
        <color rgb="FFFF0000"/>
      </top>
      <bottom style="thick">
        <color rgb="FFFF0000"/>
      </bottom>
      <diagonal/>
    </border>
    <border>
      <left/>
      <right/>
      <top style="thin">
        <color auto="1"/>
      </top>
      <bottom/>
      <diagonal/>
    </border>
    <border>
      <left style="thin">
        <color auto="1"/>
      </left>
      <right/>
      <top style="thin">
        <color auto="1"/>
      </top>
      <bottom/>
      <diagonal/>
    </border>
    <border>
      <left style="medium">
        <color rgb="FFFF0000"/>
      </left>
      <right style="thin">
        <color auto="1"/>
      </right>
      <top style="medium">
        <color rgb="FFFF0000"/>
      </top>
      <bottom style="medium">
        <color rgb="FFFF0000"/>
      </bottom>
      <diagonal/>
    </border>
    <border>
      <left style="thin">
        <color auto="1"/>
      </left>
      <right style="thin">
        <color auto="1"/>
      </right>
      <top style="medium">
        <color rgb="FFFF0000"/>
      </top>
      <bottom style="medium">
        <color rgb="FFFF0000"/>
      </bottom>
      <diagonal/>
    </border>
  </borders>
  <cellStyleXfs count="3">
    <xf numFmtId="0" fontId="0" fillId="0" borderId="0"/>
    <xf numFmtId="44" fontId="3" fillId="0" borderId="0" applyFont="0" applyFill="0" applyBorder="0" applyAlignment="0" applyProtection="0"/>
    <xf numFmtId="9" fontId="16" fillId="0" borderId="0" applyFont="0" applyFill="0" applyBorder="0" applyAlignment="0" applyProtection="0"/>
  </cellStyleXfs>
  <cellXfs count="198">
    <xf numFmtId="0" fontId="0" fillId="0" borderId="0" xfId="0"/>
    <xf numFmtId="0" fontId="2" fillId="0" borderId="0" xfId="0" applyFont="1"/>
    <xf numFmtId="44" fontId="0" fillId="0" borderId="0" xfId="1" applyFont="1"/>
    <xf numFmtId="0" fontId="4" fillId="0" borderId="0" xfId="0" applyFont="1"/>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164" fontId="4" fillId="0" borderId="0" xfId="0" applyNumberFormat="1" applyFont="1"/>
    <xf numFmtId="1" fontId="4" fillId="0" borderId="0" xfId="0" applyNumberFormat="1" applyFont="1"/>
    <xf numFmtId="0" fontId="4" fillId="0" borderId="0" xfId="0" applyFont="1" applyFill="1"/>
    <xf numFmtId="164" fontId="4" fillId="0" borderId="0" xfId="0" applyNumberFormat="1" applyFont="1" applyFill="1"/>
    <xf numFmtId="165" fontId="4" fillId="0" borderId="0" xfId="1" applyNumberFormat="1" applyFont="1"/>
    <xf numFmtId="166" fontId="4" fillId="0" borderId="0" xfId="0" applyNumberFormat="1" applyFont="1"/>
    <xf numFmtId="0" fontId="6" fillId="0" borderId="0" xfId="0" applyFont="1"/>
    <xf numFmtId="164" fontId="6" fillId="0" borderId="0" xfId="0" applyNumberFormat="1" applyFont="1"/>
    <xf numFmtId="0" fontId="4" fillId="0" borderId="0" xfId="0" applyFont="1" applyAlignment="1">
      <alignment wrapText="1"/>
    </xf>
    <xf numFmtId="0" fontId="4" fillId="0" borderId="0" xfId="0" applyFont="1" applyAlignment="1">
      <alignment horizontal="center" wrapText="1"/>
    </xf>
    <xf numFmtId="0" fontId="7" fillId="0" borderId="0" xfId="0" applyFont="1"/>
    <xf numFmtId="0" fontId="7" fillId="0" borderId="0" xfId="0" applyFont="1" applyAlignment="1">
      <alignment wrapText="1"/>
    </xf>
    <xf numFmtId="0" fontId="2" fillId="0" borderId="0" xfId="0" applyFont="1" applyAlignment="1">
      <alignment wrapText="1"/>
    </xf>
    <xf numFmtId="0" fontId="8" fillId="0" borderId="0" xfId="0" applyFont="1"/>
    <xf numFmtId="0" fontId="8" fillId="0" borderId="0" xfId="0" applyFont="1" applyAlignment="1"/>
    <xf numFmtId="2" fontId="0" fillId="0" borderId="0" xfId="0" applyNumberFormat="1"/>
    <xf numFmtId="2" fontId="7" fillId="0" borderId="0" xfId="0" applyNumberFormat="1" applyFont="1" applyAlignment="1">
      <alignment wrapText="1"/>
    </xf>
    <xf numFmtId="0" fontId="9" fillId="0" borderId="0" xfId="0" applyFont="1" applyAlignment="1">
      <alignment wrapText="1"/>
    </xf>
    <xf numFmtId="0" fontId="9" fillId="0" borderId="0" xfId="0" applyFont="1"/>
    <xf numFmtId="2" fontId="9" fillId="0" borderId="0" xfId="0" applyNumberFormat="1" applyFont="1"/>
    <xf numFmtId="0" fontId="12" fillId="0" borderId="0" xfId="0" applyFont="1" applyAlignment="1">
      <alignment wrapText="1"/>
    </xf>
    <xf numFmtId="0" fontId="12" fillId="0" borderId="0" xfId="0" applyFont="1" applyAlignment="1">
      <alignment horizontal="center" wrapText="1"/>
    </xf>
    <xf numFmtId="1" fontId="4" fillId="0" borderId="0" xfId="0" applyNumberFormat="1" applyFont="1" applyAlignment="1">
      <alignment horizontal="right"/>
    </xf>
    <xf numFmtId="0" fontId="13" fillId="0" borderId="0" xfId="0" applyFont="1" applyAlignment="1">
      <alignment wrapText="1"/>
    </xf>
    <xf numFmtId="0" fontId="14" fillId="0" borderId="0" xfId="0" applyFont="1"/>
    <xf numFmtId="165" fontId="4" fillId="0" borderId="0" xfId="1" applyNumberFormat="1" applyFont="1" applyFill="1"/>
    <xf numFmtId="0" fontId="4" fillId="0" borderId="0" xfId="0" applyFont="1" applyAlignment="1">
      <alignment horizontal="right"/>
    </xf>
    <xf numFmtId="0" fontId="17" fillId="0" borderId="2" xfId="0" applyFont="1" applyBorder="1"/>
    <xf numFmtId="0" fontId="18" fillId="0" borderId="2" xfId="0" applyFont="1" applyBorder="1" applyAlignment="1">
      <alignment horizontal="center" vertical="center"/>
    </xf>
    <xf numFmtId="10" fontId="18" fillId="0" borderId="2" xfId="2" applyNumberFormat="1" applyFont="1" applyBorder="1" applyAlignment="1">
      <alignment horizontal="center" vertical="center"/>
    </xf>
    <xf numFmtId="0" fontId="17" fillId="0" borderId="3" xfId="0" applyFont="1" applyBorder="1"/>
    <xf numFmtId="0" fontId="18" fillId="0" borderId="2" xfId="0" applyFont="1" applyBorder="1"/>
    <xf numFmtId="3" fontId="17" fillId="0" borderId="2" xfId="2" applyNumberFormat="1" applyFont="1" applyFill="1" applyBorder="1" applyAlignment="1">
      <alignment horizontal="center" vertical="center"/>
    </xf>
    <xf numFmtId="0" fontId="18" fillId="4" borderId="2" xfId="0" applyFont="1" applyFill="1" applyBorder="1"/>
    <xf numFmtId="3" fontId="17" fillId="4" borderId="2" xfId="2" applyNumberFormat="1" applyFont="1" applyFill="1" applyBorder="1" applyAlignment="1">
      <alignment horizontal="center" vertical="center"/>
    </xf>
    <xf numFmtId="0" fontId="7" fillId="0" borderId="0" xfId="0" applyFont="1" applyAlignment="1">
      <alignment horizontal="left"/>
    </xf>
    <xf numFmtId="3" fontId="17" fillId="0" borderId="2" xfId="0" applyNumberFormat="1" applyFont="1" applyBorder="1" applyAlignment="1">
      <alignment vertical="center"/>
    </xf>
    <xf numFmtId="3" fontId="17" fillId="0" borderId="1" xfId="0" applyNumberFormat="1" applyFont="1" applyBorder="1" applyAlignment="1">
      <alignment vertical="center"/>
    </xf>
    <xf numFmtId="3" fontId="17" fillId="0" borderId="2" xfId="0" applyNumberFormat="1" applyFont="1" applyFill="1" applyBorder="1" applyAlignment="1">
      <alignment vertical="center"/>
    </xf>
    <xf numFmtId="3" fontId="17" fillId="0" borderId="2" xfId="2" applyNumberFormat="1" applyFont="1" applyFill="1" applyBorder="1" applyAlignment="1">
      <alignment vertical="center"/>
    </xf>
    <xf numFmtId="0" fontId="0" fillId="0" borderId="0" xfId="0" applyBorder="1"/>
    <xf numFmtId="0" fontId="2" fillId="0" borderId="2" xfId="0" applyFont="1" applyBorder="1" applyAlignment="1">
      <alignment horizontal="right"/>
    </xf>
    <xf numFmtId="0" fontId="0" fillId="0" borderId="2" xfId="0" applyBorder="1"/>
    <xf numFmtId="0" fontId="2" fillId="0" borderId="2" xfId="0" applyFont="1" applyBorder="1" applyAlignment="1">
      <alignment wrapText="1"/>
    </xf>
    <xf numFmtId="0" fontId="7" fillId="0" borderId="2" xfId="0" applyFont="1" applyBorder="1" applyAlignment="1">
      <alignment wrapText="1"/>
    </xf>
    <xf numFmtId="0" fontId="0" fillId="0" borderId="2" xfId="0" applyBorder="1" applyAlignment="1">
      <alignment wrapText="1"/>
    </xf>
    <xf numFmtId="3" fontId="17" fillId="0" borderId="3" xfId="0" applyNumberFormat="1" applyFont="1" applyBorder="1"/>
    <xf numFmtId="0" fontId="15" fillId="0" borderId="0" xfId="0" applyFont="1"/>
    <xf numFmtId="0" fontId="2" fillId="0" borderId="2" xfId="0" applyFont="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2" borderId="2" xfId="1" applyNumberFormat="1" applyFont="1" applyFill="1" applyBorder="1" applyAlignment="1">
      <alignment horizontal="center" vertical="center"/>
    </xf>
    <xf numFmtId="0" fontId="7" fillId="0" borderId="2" xfId="0" applyFont="1" applyBorder="1" applyAlignment="1">
      <alignment horizontal="center" vertical="center"/>
    </xf>
    <xf numFmtId="44" fontId="0" fillId="0" borderId="2" xfId="0" applyNumberFormat="1" applyBorder="1" applyAlignment="1">
      <alignment horizontal="center" vertical="center"/>
    </xf>
    <xf numFmtId="2" fontId="0" fillId="0" borderId="2" xfId="0" applyNumberForma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7" fillId="0" borderId="4" xfId="0" applyFont="1" applyBorder="1" applyAlignment="1">
      <alignment wrapText="1"/>
    </xf>
    <xf numFmtId="2" fontId="7" fillId="0" borderId="4" xfId="0" applyNumberFormat="1" applyFont="1" applyBorder="1" applyAlignment="1">
      <alignment horizontal="center" vertical="center"/>
    </xf>
    <xf numFmtId="0" fontId="7" fillId="0" borderId="6" xfId="0" applyFont="1" applyBorder="1" applyAlignment="1">
      <alignment wrapText="1"/>
    </xf>
    <xf numFmtId="2" fontId="7" fillId="0" borderId="6" xfId="0" applyNumberFormat="1" applyFont="1" applyBorder="1" applyAlignment="1">
      <alignment horizontal="center" vertical="center"/>
    </xf>
    <xf numFmtId="44" fontId="2" fillId="3" borderId="2" xfId="1" applyFont="1" applyFill="1" applyBorder="1" applyAlignment="1">
      <alignment horizontal="center" vertical="center"/>
    </xf>
    <xf numFmtId="0" fontId="2" fillId="0" borderId="2" xfId="1" applyNumberFormat="1" applyFont="1" applyBorder="1" applyAlignment="1">
      <alignment wrapText="1"/>
    </xf>
    <xf numFmtId="0" fontId="2" fillId="0" borderId="2" xfId="0" applyFont="1" applyFill="1" applyBorder="1" applyAlignment="1">
      <alignment wrapText="1"/>
    </xf>
    <xf numFmtId="44" fontId="0" fillId="0" borderId="2" xfId="0" applyNumberFormat="1" applyFill="1" applyBorder="1" applyAlignment="1">
      <alignment horizontal="center" vertical="center"/>
    </xf>
    <xf numFmtId="0" fontId="0" fillId="0" borderId="2" xfId="0" applyFill="1" applyBorder="1" applyAlignment="1">
      <alignment horizontal="center" vertical="center"/>
    </xf>
    <xf numFmtId="0" fontId="0" fillId="0" borderId="0" xfId="0" applyFill="1"/>
    <xf numFmtId="44" fontId="0" fillId="0" borderId="2" xfId="1" applyFont="1" applyFill="1" applyBorder="1" applyAlignment="1">
      <alignment horizontal="center" vertical="center"/>
    </xf>
    <xf numFmtId="0" fontId="0" fillId="0" borderId="2" xfId="0" applyFill="1" applyBorder="1" applyAlignment="1">
      <alignment wrapText="1"/>
    </xf>
    <xf numFmtId="0" fontId="0" fillId="0" borderId="2" xfId="0" applyFont="1" applyFill="1" applyBorder="1" applyAlignment="1">
      <alignment wrapText="1"/>
    </xf>
    <xf numFmtId="2" fontId="15" fillId="0" borderId="0" xfId="0" applyNumberFormat="1" applyFont="1"/>
    <xf numFmtId="0" fontId="15" fillId="0" borderId="0" xfId="0" applyFont="1" applyFill="1"/>
    <xf numFmtId="0" fontId="7" fillId="0" borderId="6" xfId="0" applyFont="1" applyBorder="1"/>
    <xf numFmtId="0" fontId="4" fillId="0" borderId="0" xfId="0" applyFont="1" applyAlignment="1">
      <alignment horizontal="center" vertical="center" wrapText="1"/>
    </xf>
    <xf numFmtId="1" fontId="4" fillId="0" borderId="0" xfId="0" applyNumberFormat="1" applyFont="1" applyAlignment="1">
      <alignment horizontal="center"/>
    </xf>
    <xf numFmtId="164" fontId="4" fillId="0" borderId="0" xfId="0" applyNumberFormat="1" applyFont="1" applyAlignment="1">
      <alignment horizontal="center"/>
    </xf>
    <xf numFmtId="0" fontId="4" fillId="0" borderId="0" xfId="0" applyNumberFormat="1" applyFont="1" applyAlignment="1">
      <alignment horizontal="center"/>
    </xf>
    <xf numFmtId="0" fontId="4" fillId="0" borderId="0" xfId="0" applyNumberFormat="1" applyFont="1"/>
    <xf numFmtId="1" fontId="6" fillId="0" borderId="0" xfId="0" applyNumberFormat="1" applyFont="1"/>
    <xf numFmtId="164" fontId="19" fillId="0" borderId="6" xfId="0" applyNumberFormat="1" applyFont="1" applyBorder="1"/>
    <xf numFmtId="0" fontId="13" fillId="5" borderId="0" xfId="0" applyFont="1" applyFill="1" applyAlignment="1">
      <alignment wrapText="1"/>
    </xf>
    <xf numFmtId="2" fontId="13" fillId="5" borderId="0" xfId="0" applyNumberFormat="1" applyFont="1" applyFill="1"/>
    <xf numFmtId="0" fontId="9" fillId="5" borderId="0" xfId="0" applyFont="1" applyFill="1"/>
    <xf numFmtId="3" fontId="0" fillId="0" borderId="0" xfId="0" applyNumberFormat="1"/>
    <xf numFmtId="0" fontId="2" fillId="0" borderId="0" xfId="0" applyFont="1" applyFill="1" applyBorder="1"/>
    <xf numFmtId="0" fontId="15" fillId="0" borderId="0" xfId="0" applyFont="1" applyAlignment="1">
      <alignment wrapText="1"/>
    </xf>
    <xf numFmtId="10" fontId="18" fillId="0" borderId="2" xfId="2" applyNumberFormat="1" applyFont="1" applyFill="1" applyBorder="1" applyAlignment="1">
      <alignment horizontal="center" vertical="center"/>
    </xf>
    <xf numFmtId="2" fontId="7" fillId="6" borderId="2" xfId="0" applyNumberFormat="1" applyFont="1" applyFill="1" applyBorder="1" applyAlignment="1">
      <alignment horizontal="center" vertical="center"/>
    </xf>
    <xf numFmtId="2" fontId="7" fillId="0" borderId="6" xfId="0" applyNumberFormat="1" applyFont="1" applyBorder="1" applyAlignment="1">
      <alignment horizontal="left" vertical="center" wrapText="1"/>
    </xf>
    <xf numFmtId="2" fontId="7" fillId="7" borderId="6" xfId="0" applyNumberFormat="1" applyFont="1" applyFill="1" applyBorder="1" applyAlignment="1">
      <alignment horizontal="left" vertical="center" wrapText="1"/>
    </xf>
    <xf numFmtId="2" fontId="7" fillId="7" borderId="6" xfId="0" applyNumberFormat="1" applyFont="1" applyFill="1" applyBorder="1" applyAlignment="1">
      <alignment horizontal="center" vertical="center"/>
    </xf>
    <xf numFmtId="2" fontId="7" fillId="6" borderId="6" xfId="0" applyNumberFormat="1" applyFont="1" applyFill="1" applyBorder="1" applyAlignment="1">
      <alignment horizontal="center" vertical="center"/>
    </xf>
    <xf numFmtId="0" fontId="13" fillId="0" borderId="0" xfId="0" applyFont="1" applyFill="1" applyBorder="1" applyAlignment="1">
      <alignment wrapText="1"/>
    </xf>
    <xf numFmtId="2" fontId="8" fillId="0" borderId="0" xfId="0" applyNumberFormat="1" applyFont="1"/>
    <xf numFmtId="0" fontId="4" fillId="6" borderId="0" xfId="0" applyFont="1" applyFill="1" applyAlignment="1">
      <alignment horizontal="center"/>
    </xf>
    <xf numFmtId="2" fontId="7" fillId="0" borderId="0" xfId="0" applyNumberFormat="1" applyFont="1"/>
    <xf numFmtId="0" fontId="12" fillId="2" borderId="0" xfId="0" applyFont="1" applyFill="1" applyAlignment="1">
      <alignment wrapText="1"/>
    </xf>
    <xf numFmtId="0" fontId="4" fillId="0" borderId="7" xfId="0" applyFont="1" applyBorder="1"/>
    <xf numFmtId="164" fontId="4" fillId="0" borderId="8" xfId="0" applyNumberFormat="1" applyFont="1" applyBorder="1" applyAlignment="1">
      <alignment horizontal="center" vertical="center"/>
    </xf>
    <xf numFmtId="0" fontId="2" fillId="0" borderId="9" xfId="0" applyFont="1" applyBorder="1" applyAlignment="1">
      <alignment wrapText="1"/>
    </xf>
    <xf numFmtId="0" fontId="4" fillId="0" borderId="10" xfId="0" applyNumberFormat="1" applyFont="1" applyBorder="1" applyAlignment="1">
      <alignment horizontal="center" vertical="center"/>
    </xf>
    <xf numFmtId="0" fontId="4" fillId="0" borderId="11" xfId="0" applyFont="1" applyBorder="1"/>
    <xf numFmtId="164" fontId="4" fillId="0" borderId="12" xfId="0" applyNumberFormat="1" applyFont="1" applyBorder="1"/>
    <xf numFmtId="0" fontId="24" fillId="0" borderId="1" xfId="0" applyFont="1" applyBorder="1"/>
    <xf numFmtId="0" fontId="17" fillId="0" borderId="13" xfId="0" applyFont="1" applyBorder="1"/>
    <xf numFmtId="10" fontId="17" fillId="0" borderId="14" xfId="2" applyNumberFormat="1" applyFont="1" applyBorder="1"/>
    <xf numFmtId="0" fontId="23" fillId="0" borderId="0" xfId="0" applyFont="1"/>
    <xf numFmtId="0" fontId="17" fillId="0" borderId="0" xfId="0" applyFont="1"/>
    <xf numFmtId="0" fontId="17" fillId="0" borderId="15" xfId="0" applyFont="1" applyBorder="1"/>
    <xf numFmtId="49" fontId="17" fillId="0" borderId="0" xfId="0" applyNumberFormat="1" applyFont="1" applyAlignment="1">
      <alignment horizontal="center" vertical="center"/>
    </xf>
    <xf numFmtId="44" fontId="23" fillId="0" borderId="0" xfId="1" applyFont="1"/>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44" fontId="18" fillId="0" borderId="2" xfId="1" applyFont="1" applyBorder="1" applyAlignment="1">
      <alignment horizontal="center" vertical="center" wrapText="1"/>
    </xf>
    <xf numFmtId="0" fontId="18" fillId="8" borderId="2" xfId="0" applyFont="1" applyFill="1" applyBorder="1"/>
    <xf numFmtId="3" fontId="17" fillId="8" borderId="2" xfId="2" applyNumberFormat="1" applyFont="1" applyFill="1" applyBorder="1" applyAlignment="1">
      <alignment horizontal="center" vertical="center"/>
    </xf>
    <xf numFmtId="0" fontId="17" fillId="8" borderId="2" xfId="0" applyFont="1" applyFill="1" applyBorder="1"/>
    <xf numFmtId="3" fontId="17" fillId="0" borderId="2" xfId="0" applyNumberFormat="1" applyFont="1" applyBorder="1" applyAlignment="1">
      <alignment horizontal="center" vertical="center"/>
    </xf>
    <xf numFmtId="49" fontId="17" fillId="0" borderId="2" xfId="0" applyNumberFormat="1" applyFont="1" applyBorder="1" applyAlignment="1">
      <alignment horizontal="center" vertical="center"/>
    </xf>
    <xf numFmtId="44" fontId="17" fillId="0" borderId="2" xfId="1" applyFont="1" applyFill="1" applyBorder="1"/>
    <xf numFmtId="0" fontId="18" fillId="0" borderId="13" xfId="0" applyFont="1" applyBorder="1"/>
    <xf numFmtId="0" fontId="22" fillId="0" borderId="16" xfId="0" applyFont="1" applyBorder="1"/>
    <xf numFmtId="49" fontId="22" fillId="0" borderId="0" xfId="0" applyNumberFormat="1" applyFont="1" applyAlignment="1">
      <alignment horizontal="center" vertical="center"/>
    </xf>
    <xf numFmtId="3" fontId="17" fillId="4" borderId="2" xfId="0" applyNumberFormat="1" applyFont="1" applyFill="1" applyBorder="1" applyAlignment="1">
      <alignment horizontal="center" vertical="center"/>
    </xf>
    <xf numFmtId="0" fontId="17" fillId="4" borderId="2" xfId="0" applyFont="1" applyFill="1" applyBorder="1"/>
    <xf numFmtId="49" fontId="17" fillId="4" borderId="2" xfId="0" applyNumberFormat="1" applyFont="1" applyFill="1" applyBorder="1" applyAlignment="1">
      <alignment horizontal="center" vertical="center"/>
    </xf>
    <xf numFmtId="44" fontId="17" fillId="4" borderId="2" xfId="1" applyFont="1" applyFill="1" applyBorder="1"/>
    <xf numFmtId="3" fontId="17" fillId="4" borderId="0" xfId="0" applyNumberFormat="1" applyFont="1" applyFill="1" applyAlignment="1">
      <alignment horizontal="center" vertical="center"/>
    </xf>
    <xf numFmtId="44" fontId="17" fillId="0" borderId="2" xfId="1" applyFont="1" applyBorder="1"/>
    <xf numFmtId="0" fontId="25" fillId="0" borderId="0" xfId="0" applyFont="1"/>
    <xf numFmtId="0" fontId="17" fillId="0" borderId="17" xfId="0" applyFont="1" applyBorder="1"/>
    <xf numFmtId="0" fontId="17" fillId="0" borderId="2" xfId="0" applyFont="1" applyBorder="1" applyAlignment="1">
      <alignment horizontal="right"/>
    </xf>
    <xf numFmtId="3" fontId="18" fillId="0" borderId="13" xfId="0" applyNumberFormat="1" applyFont="1" applyBorder="1"/>
    <xf numFmtId="3" fontId="18" fillId="0" borderId="0" xfId="0" applyNumberFormat="1" applyFont="1"/>
    <xf numFmtId="0" fontId="18" fillId="0" borderId="0" xfId="0" applyFont="1"/>
    <xf numFmtId="49" fontId="0" fillId="0" borderId="0" xfId="0" applyNumberFormat="1" applyAlignment="1">
      <alignment horizontal="center" vertical="center"/>
    </xf>
    <xf numFmtId="0" fontId="26" fillId="0" borderId="0" xfId="0" applyFont="1"/>
    <xf numFmtId="0" fontId="27" fillId="0" borderId="0" xfId="0" applyFont="1"/>
    <xf numFmtId="0" fontId="17" fillId="9" borderId="2" xfId="0" applyFont="1" applyFill="1" applyBorder="1"/>
    <xf numFmtId="0" fontId="28" fillId="8" borderId="2" xfId="0" applyFont="1" applyFill="1" applyBorder="1"/>
    <xf numFmtId="0" fontId="28" fillId="0" borderId="2" xfId="0" applyFont="1" applyBorder="1"/>
    <xf numFmtId="44" fontId="17" fillId="0" borderId="0" xfId="1" applyFont="1"/>
    <xf numFmtId="0" fontId="17" fillId="2" borderId="2" xfId="0" applyFont="1" applyFill="1" applyBorder="1"/>
    <xf numFmtId="44" fontId="17" fillId="0" borderId="0" xfId="0" applyNumberFormat="1" applyFont="1"/>
    <xf numFmtId="0" fontId="17" fillId="0" borderId="4" xfId="0" applyFont="1" applyBorder="1"/>
    <xf numFmtId="0" fontId="28" fillId="0" borderId="4" xfId="0" applyFont="1" applyBorder="1"/>
    <xf numFmtId="0" fontId="17" fillId="2" borderId="4" xfId="0" applyFont="1" applyFill="1" applyBorder="1"/>
    <xf numFmtId="0" fontId="18" fillId="0" borderId="6" xfId="0" applyFont="1" applyBorder="1"/>
    <xf numFmtId="0" fontId="17" fillId="9" borderId="4" xfId="0" applyFont="1" applyFill="1" applyBorder="1"/>
    <xf numFmtId="0" fontId="18" fillId="9" borderId="6" xfId="0" applyFont="1" applyFill="1" applyBorder="1"/>
    <xf numFmtId="0" fontId="17" fillId="0" borderId="2" xfId="0" applyFont="1" applyBorder="1" applyAlignment="1">
      <alignment horizontal="left" vertical="top"/>
    </xf>
    <xf numFmtId="0" fontId="24" fillId="0" borderId="0" xfId="0" applyFont="1"/>
    <xf numFmtId="10" fontId="18" fillId="0" borderId="2" xfId="2" applyNumberFormat="1" applyFont="1" applyBorder="1" applyAlignment="1">
      <alignment horizontal="center" vertical="center" wrapText="1"/>
    </xf>
    <xf numFmtId="0" fontId="18" fillId="7" borderId="2" xfId="0" applyFont="1" applyFill="1" applyBorder="1"/>
    <xf numFmtId="3" fontId="17" fillId="7" borderId="2" xfId="2" applyNumberFormat="1" applyFont="1" applyFill="1" applyBorder="1" applyAlignment="1">
      <alignment horizontal="center" vertical="center"/>
    </xf>
    <xf numFmtId="0" fontId="18" fillId="7" borderId="5" xfId="0" applyFont="1" applyFill="1" applyBorder="1"/>
    <xf numFmtId="3" fontId="22" fillId="6" borderId="3" xfId="2" applyNumberFormat="1" applyFont="1" applyFill="1" applyBorder="1" applyAlignment="1">
      <alignment horizontal="center" vertical="center"/>
    </xf>
    <xf numFmtId="3" fontId="22" fillId="6" borderId="2" xfId="2" applyNumberFormat="1" applyFont="1" applyFill="1" applyBorder="1" applyAlignment="1">
      <alignment horizontal="center" vertical="center"/>
    </xf>
    <xf numFmtId="3" fontId="17" fillId="8" borderId="13" xfId="2" applyNumberFormat="1" applyFont="1" applyFill="1" applyBorder="1" applyAlignment="1">
      <alignment horizontal="center" vertical="center"/>
    </xf>
    <xf numFmtId="3" fontId="17" fillId="8" borderId="4" xfId="2" applyNumberFormat="1" applyFont="1" applyFill="1" applyBorder="1" applyAlignment="1">
      <alignment horizontal="center" vertical="center"/>
    </xf>
    <xf numFmtId="3" fontId="17" fillId="7" borderId="5" xfId="2" applyNumberFormat="1" applyFont="1" applyFill="1" applyBorder="1" applyAlignment="1">
      <alignment horizontal="center" vertical="center"/>
    </xf>
    <xf numFmtId="0" fontId="17" fillId="0" borderId="0" xfId="0" applyFont="1" applyBorder="1"/>
    <xf numFmtId="0" fontId="18" fillId="7" borderId="0" xfId="0" applyFont="1" applyFill="1" applyBorder="1"/>
    <xf numFmtId="3" fontId="17" fillId="7" borderId="3" xfId="2" applyNumberFormat="1" applyFont="1" applyFill="1" applyBorder="1" applyAlignment="1">
      <alignment horizontal="center" vertical="center"/>
    </xf>
    <xf numFmtId="0" fontId="18" fillId="8" borderId="1" xfId="0" applyFont="1" applyFill="1" applyBorder="1"/>
    <xf numFmtId="3" fontId="17" fillId="8" borderId="18" xfId="2" applyNumberFormat="1" applyFont="1" applyFill="1" applyBorder="1" applyAlignment="1">
      <alignment horizontal="center" vertical="center"/>
    </xf>
    <xf numFmtId="3" fontId="22" fillId="8" borderId="19" xfId="2" applyNumberFormat="1" applyFont="1" applyFill="1" applyBorder="1" applyAlignment="1">
      <alignment horizontal="center" vertical="center"/>
    </xf>
    <xf numFmtId="3" fontId="17" fillId="8" borderId="20" xfId="2" applyNumberFormat="1" applyFont="1" applyFill="1" applyBorder="1" applyAlignment="1">
      <alignment horizontal="center" vertical="center"/>
    </xf>
    <xf numFmtId="3" fontId="18" fillId="8" borderId="20" xfId="2" applyNumberFormat="1" applyFont="1" applyFill="1" applyBorder="1" applyAlignment="1">
      <alignment horizontal="center" vertical="center"/>
    </xf>
    <xf numFmtId="0" fontId="18" fillId="7" borderId="1" xfId="0" applyFont="1" applyFill="1" applyBorder="1"/>
    <xf numFmtId="3" fontId="17" fillId="7" borderId="13" xfId="2" applyNumberFormat="1" applyFont="1" applyFill="1" applyBorder="1" applyAlignment="1">
      <alignment horizontal="center" vertical="center"/>
    </xf>
    <xf numFmtId="3" fontId="17" fillId="7" borderId="4" xfId="2" applyNumberFormat="1" applyFont="1" applyFill="1" applyBorder="1" applyAlignment="1">
      <alignment horizontal="center" vertical="center"/>
    </xf>
    <xf numFmtId="3" fontId="17" fillId="8" borderId="5" xfId="2" applyNumberFormat="1" applyFont="1" applyFill="1" applyBorder="1" applyAlignment="1">
      <alignment horizontal="center" vertical="center"/>
    </xf>
    <xf numFmtId="3" fontId="22" fillId="6" borderId="5" xfId="2" applyNumberFormat="1" applyFont="1" applyFill="1" applyBorder="1" applyAlignment="1">
      <alignment horizontal="center" vertical="center"/>
    </xf>
    <xf numFmtId="3" fontId="22" fillId="7" borderId="19" xfId="2" applyNumberFormat="1" applyFont="1" applyFill="1" applyBorder="1" applyAlignment="1">
      <alignment horizontal="center" vertical="center"/>
    </xf>
    <xf numFmtId="3" fontId="17" fillId="7" borderId="20" xfId="2" applyNumberFormat="1" applyFont="1" applyFill="1" applyBorder="1" applyAlignment="1">
      <alignment horizontal="center" vertical="center"/>
    </xf>
    <xf numFmtId="3" fontId="18" fillId="7" borderId="20" xfId="2" applyNumberFormat="1" applyFont="1" applyFill="1" applyBorder="1" applyAlignment="1">
      <alignment horizontal="center" vertical="center"/>
    </xf>
    <xf numFmtId="2" fontId="7" fillId="0" borderId="6" xfId="0" applyNumberFormat="1" applyFont="1" applyBorder="1"/>
    <xf numFmtId="0" fontId="4" fillId="0" borderId="10" xfId="0" applyFont="1" applyBorder="1" applyAlignment="1">
      <alignment horizontal="center" vertical="center"/>
    </xf>
    <xf numFmtId="3" fontId="17" fillId="2" borderId="2" xfId="2" applyNumberFormat="1" applyFont="1" applyFill="1" applyBorder="1" applyAlignment="1">
      <alignment horizontal="center" vertical="center"/>
    </xf>
    <xf numFmtId="0" fontId="4" fillId="2" borderId="0" xfId="0" applyFont="1" applyFill="1"/>
    <xf numFmtId="0" fontId="17" fillId="4" borderId="2" xfId="0" applyNumberFormat="1" applyFont="1" applyFill="1" applyBorder="1" applyAlignment="1">
      <alignment horizontal="center" vertical="center"/>
    </xf>
    <xf numFmtId="0" fontId="17" fillId="0" borderId="2" xfId="0" applyNumberFormat="1" applyFont="1" applyBorder="1" applyAlignment="1">
      <alignment horizontal="center" vertical="center"/>
    </xf>
    <xf numFmtId="0" fontId="22" fillId="0" borderId="0" xfId="0" applyNumberFormat="1" applyFont="1" applyAlignment="1">
      <alignment horizontal="center" vertical="center"/>
    </xf>
    <xf numFmtId="164" fontId="30" fillId="0" borderId="0" xfId="0" applyNumberFormat="1" applyFont="1"/>
    <xf numFmtId="166" fontId="19" fillId="0" borderId="0" xfId="0" applyNumberFormat="1" applyFont="1"/>
    <xf numFmtId="1" fontId="4" fillId="0" borderId="10" xfId="0" applyNumberFormat="1" applyFont="1" applyBorder="1" applyAlignment="1">
      <alignment horizontal="center" vertical="center"/>
    </xf>
    <xf numFmtId="0" fontId="4" fillId="0" borderId="0" xfId="0" applyFont="1" applyFill="1" applyAlignment="1">
      <alignment horizontal="left" vertical="center" wrapText="1"/>
    </xf>
    <xf numFmtId="0" fontId="31" fillId="0" borderId="0" xfId="0" applyFont="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F47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uddleston, Andrew J CIV USARMY CENWS (USA)" id="{E876BECF-F206-4474-BD7B-7E2C9E18BA1E}" userId="Huddleston, Andrew J CIV USARMY CENWS (USA)" providerId="None"/>
  <person displayName="Huddleston, Andrew J CIV USARMY CENWS (USA)" id="{EE2FB907-40E0-460F-BE6A-904BE2F8236B}" userId="S::Andrew.J.Huddleston@usace.army.mil::0dcae61f-06c0-4d55-97ad-2f4797b951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2-03-31T17:26:45.26" personId="{EE2FB907-40E0-460F-BE6A-904BE2F8236B}" id="{6757526E-A222-48AB-BEB1-FC3E97F35A98}">
    <text>Makes up for potential unrecorded mileage</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1-12-16T23:36:50.19" personId="{E876BECF-F206-4474-BD7B-7E2C9E18BA1E}" id="{E27DAB32-3075-4675-A7BC-222975A77CFB}">
    <text>Need to hone in the rate of road collection...how many road miles can be collected in 1 hour?</text>
  </threadedComment>
  <threadedComment ref="A16" dT="2022-04-11T20:37:29.78" personId="{EE2FB907-40E0-460F-BE6A-904BE2F8236B}" id="{705AE2BA-9F67-4D93-83E5-B1ADD4BCABBC}">
    <text>Includes: Shelters, Campsites, and Picnic Sites</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1-12-16T23:36:50.19" personId="{E876BECF-F206-4474-BD7B-7E2C9E18BA1E}" id="{59DB17E9-7978-49E4-91A2-D4FA40761747}">
    <text>Need to hone in the rate of road collection...how many road miles can be collected in 1 hour?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8DCAE-A773-40DF-8CC4-C36136C586E3}">
  <sheetPr>
    <tabColor rgb="FFFF0000"/>
  </sheetPr>
  <dimension ref="A1:Y38"/>
  <sheetViews>
    <sheetView zoomScale="85" zoomScaleNormal="85" workbookViewId="0">
      <selection activeCell="M18" sqref="M18"/>
    </sheetView>
  </sheetViews>
  <sheetFormatPr defaultColWidth="8.85546875" defaultRowHeight="15" x14ac:dyDescent="0.25"/>
  <cols>
    <col min="1" max="1" width="19.85546875" style="3" customWidth="1"/>
    <col min="2" max="2" width="8.85546875" style="3"/>
    <col min="3" max="3" width="11.7109375" customWidth="1"/>
    <col min="4" max="12" width="12" customWidth="1"/>
    <col min="13" max="13" width="10.140625" style="3" bestFit="1" customWidth="1"/>
    <col min="14" max="14" width="8.85546875" style="3"/>
    <col min="15" max="15" width="13.28515625" style="3" customWidth="1"/>
    <col min="16" max="21" width="12" customWidth="1"/>
    <col min="22" max="22" width="10.140625" bestFit="1" customWidth="1"/>
    <col min="24" max="24" width="13.28515625" customWidth="1"/>
    <col min="25" max="25" width="14.7109375" customWidth="1"/>
  </cols>
  <sheetData>
    <row r="1" spans="1:25" s="3" customFormat="1" x14ac:dyDescent="0.25">
      <c r="E1" s="3" t="s">
        <v>16</v>
      </c>
      <c r="Y1" s="14"/>
    </row>
    <row r="2" spans="1:25" s="3" customFormat="1" x14ac:dyDescent="0.25">
      <c r="E2" s="3" t="s">
        <v>17</v>
      </c>
      <c r="Y2" s="14"/>
    </row>
    <row r="3" spans="1:25" s="3" customFormat="1" x14ac:dyDescent="0.25">
      <c r="E3" s="3" t="s">
        <v>56</v>
      </c>
      <c r="Y3" s="14"/>
    </row>
    <row r="4" spans="1:25" s="3" customFormat="1" x14ac:dyDescent="0.25">
      <c r="E4" s="3" t="s">
        <v>15</v>
      </c>
      <c r="Y4" s="14"/>
    </row>
    <row r="5" spans="1:25" s="3" customFormat="1" x14ac:dyDescent="0.25">
      <c r="Y5" s="14"/>
    </row>
    <row r="6" spans="1:25" s="3" customFormat="1" x14ac:dyDescent="0.25">
      <c r="Y6" s="14"/>
    </row>
    <row r="7" spans="1:25" x14ac:dyDescent="0.25">
      <c r="B7" s="4" t="s">
        <v>5</v>
      </c>
      <c r="C7">
        <v>1</v>
      </c>
      <c r="D7" s="1" t="s">
        <v>66</v>
      </c>
      <c r="E7" s="1" t="s">
        <v>67</v>
      </c>
      <c r="F7" s="1" t="s">
        <v>68</v>
      </c>
      <c r="G7" s="1" t="s">
        <v>69</v>
      </c>
      <c r="H7" s="1" t="s">
        <v>70</v>
      </c>
      <c r="I7" s="1" t="s">
        <v>71</v>
      </c>
      <c r="J7" s="1" t="s">
        <v>72</v>
      </c>
      <c r="K7" s="1" t="s">
        <v>73</v>
      </c>
      <c r="O7" s="4" t="s">
        <v>3</v>
      </c>
    </row>
    <row r="8" spans="1:25" ht="30" x14ac:dyDescent="0.25">
      <c r="A8" s="16"/>
      <c r="B8" s="17"/>
      <c r="C8" s="17" t="s">
        <v>18</v>
      </c>
      <c r="D8" s="17" t="s">
        <v>57</v>
      </c>
      <c r="E8" s="17" t="s">
        <v>58</v>
      </c>
      <c r="F8" s="17" t="s">
        <v>59</v>
      </c>
      <c r="G8" s="17" t="s">
        <v>60</v>
      </c>
      <c r="H8" s="17" t="s">
        <v>61</v>
      </c>
      <c r="I8" s="17" t="s">
        <v>62</v>
      </c>
      <c r="J8" s="17" t="s">
        <v>63</v>
      </c>
      <c r="K8" s="17" t="s">
        <v>64</v>
      </c>
      <c r="L8" s="16" t="s">
        <v>65</v>
      </c>
      <c r="M8" s="16"/>
      <c r="N8" s="16"/>
      <c r="O8" s="17"/>
    </row>
    <row r="9" spans="1:25" ht="12.75" x14ac:dyDescent="0.2">
      <c r="A9" s="28"/>
      <c r="B9" s="29" t="s">
        <v>35</v>
      </c>
      <c r="C9" s="29">
        <v>6</v>
      </c>
      <c r="D9" s="29">
        <v>23</v>
      </c>
      <c r="E9" s="29">
        <v>17</v>
      </c>
      <c r="F9" s="29">
        <v>16</v>
      </c>
      <c r="G9" s="29">
        <v>25</v>
      </c>
      <c r="H9" s="29">
        <v>20</v>
      </c>
      <c r="I9" s="29">
        <v>15</v>
      </c>
      <c r="J9" s="29">
        <v>15</v>
      </c>
      <c r="K9" s="29">
        <v>16</v>
      </c>
      <c r="L9" s="29">
        <v>12</v>
      </c>
      <c r="M9" s="28"/>
      <c r="N9" s="28"/>
      <c r="O9" s="29"/>
    </row>
    <row r="10" spans="1:25" x14ac:dyDescent="0.25">
      <c r="C10" s="3"/>
      <c r="D10" s="3"/>
      <c r="E10" s="3"/>
      <c r="F10" s="3"/>
      <c r="G10" s="3"/>
      <c r="H10" s="3"/>
      <c r="I10" s="3"/>
      <c r="J10" s="3"/>
      <c r="K10" s="3"/>
      <c r="L10" s="3"/>
    </row>
    <row r="11" spans="1:25" x14ac:dyDescent="0.25">
      <c r="A11" s="5" t="s">
        <v>0</v>
      </c>
      <c r="C11" s="4" t="s">
        <v>6</v>
      </c>
      <c r="D11" s="4" t="s">
        <v>6</v>
      </c>
      <c r="E11" s="4" t="s">
        <v>6</v>
      </c>
      <c r="F11" s="4" t="s">
        <v>6</v>
      </c>
      <c r="G11" s="4" t="s">
        <v>6</v>
      </c>
      <c r="H11" s="4" t="s">
        <v>6</v>
      </c>
      <c r="I11" s="4" t="s">
        <v>6</v>
      </c>
      <c r="J11" s="4" t="s">
        <v>6</v>
      </c>
      <c r="K11" s="4" t="s">
        <v>6</v>
      </c>
      <c r="L11" s="4" t="s">
        <v>6</v>
      </c>
      <c r="M11" s="6" t="s">
        <v>1</v>
      </c>
      <c r="N11" s="7" t="s">
        <v>2</v>
      </c>
      <c r="O11" s="6" t="s">
        <v>4</v>
      </c>
    </row>
    <row r="12" spans="1:25" x14ac:dyDescent="0.25">
      <c r="A12" s="3" t="s">
        <v>21</v>
      </c>
      <c r="C12" s="30">
        <f>8*C9</f>
        <v>48</v>
      </c>
      <c r="D12" s="34">
        <f t="shared" ref="D12:L12" si="0">4*D9</f>
        <v>92</v>
      </c>
      <c r="E12" s="34">
        <f t="shared" si="0"/>
        <v>68</v>
      </c>
      <c r="F12" s="34">
        <f t="shared" si="0"/>
        <v>64</v>
      </c>
      <c r="G12" s="34">
        <f t="shared" si="0"/>
        <v>100</v>
      </c>
      <c r="H12" s="34">
        <f t="shared" si="0"/>
        <v>80</v>
      </c>
      <c r="I12" s="34">
        <f t="shared" si="0"/>
        <v>60</v>
      </c>
      <c r="J12" s="34">
        <f t="shared" si="0"/>
        <v>60</v>
      </c>
      <c r="K12" s="34">
        <f t="shared" si="0"/>
        <v>64</v>
      </c>
      <c r="L12" s="34">
        <f t="shared" si="0"/>
        <v>48</v>
      </c>
      <c r="M12" s="9">
        <f t="shared" ref="M12:M17" si="1">SUM(C12:L12)</f>
        <v>684</v>
      </c>
      <c r="N12" s="8">
        <v>125</v>
      </c>
      <c r="O12" s="8">
        <f t="shared" ref="O12:O17" si="2">SUM(M12*N12)</f>
        <v>85500</v>
      </c>
    </row>
    <row r="13" spans="1:25" x14ac:dyDescent="0.25">
      <c r="A13" s="3" t="s">
        <v>20</v>
      </c>
      <c r="C13" s="30">
        <f>40*C9</f>
        <v>240</v>
      </c>
      <c r="D13" s="34">
        <f t="shared" ref="D13:L13" si="3">30*D9</f>
        <v>690</v>
      </c>
      <c r="E13" s="34">
        <f t="shared" si="3"/>
        <v>510</v>
      </c>
      <c r="F13" s="34">
        <f t="shared" si="3"/>
        <v>480</v>
      </c>
      <c r="G13" s="34">
        <f t="shared" si="3"/>
        <v>750</v>
      </c>
      <c r="H13" s="34">
        <f t="shared" si="3"/>
        <v>600</v>
      </c>
      <c r="I13" s="34">
        <f t="shared" si="3"/>
        <v>450</v>
      </c>
      <c r="J13" s="34">
        <f t="shared" si="3"/>
        <v>450</v>
      </c>
      <c r="K13" s="34">
        <f t="shared" si="3"/>
        <v>480</v>
      </c>
      <c r="L13" s="34">
        <f t="shared" si="3"/>
        <v>360</v>
      </c>
      <c r="M13" s="9">
        <f t="shared" si="1"/>
        <v>5010</v>
      </c>
      <c r="N13" s="8">
        <v>95</v>
      </c>
      <c r="O13" s="8">
        <f t="shared" si="2"/>
        <v>475950</v>
      </c>
    </row>
    <row r="14" spans="1:25" x14ac:dyDescent="0.25">
      <c r="A14" s="3" t="s">
        <v>19</v>
      </c>
      <c r="C14" s="30">
        <f t="shared" ref="C14:L14" si="4">40*C9</f>
        <v>240</v>
      </c>
      <c r="D14" s="34">
        <f t="shared" si="4"/>
        <v>920</v>
      </c>
      <c r="E14" s="34">
        <f t="shared" si="4"/>
        <v>680</v>
      </c>
      <c r="F14" s="34">
        <f t="shared" si="4"/>
        <v>640</v>
      </c>
      <c r="G14" s="34">
        <f t="shared" si="4"/>
        <v>1000</v>
      </c>
      <c r="H14" s="34">
        <f t="shared" si="4"/>
        <v>800</v>
      </c>
      <c r="I14" s="34">
        <f t="shared" si="4"/>
        <v>600</v>
      </c>
      <c r="J14" s="34">
        <f t="shared" si="4"/>
        <v>600</v>
      </c>
      <c r="K14" s="34">
        <f t="shared" si="4"/>
        <v>640</v>
      </c>
      <c r="L14" s="34">
        <f t="shared" si="4"/>
        <v>480</v>
      </c>
      <c r="M14" s="9">
        <f t="shared" si="1"/>
        <v>6600</v>
      </c>
      <c r="N14" s="8">
        <v>70</v>
      </c>
      <c r="O14" s="8">
        <f t="shared" si="2"/>
        <v>462000</v>
      </c>
    </row>
    <row r="15" spans="1:25" x14ac:dyDescent="0.25">
      <c r="A15" s="3" t="s">
        <v>31</v>
      </c>
      <c r="C15" s="30">
        <f t="shared" ref="C15:L15" si="5">4*C9</f>
        <v>24</v>
      </c>
      <c r="D15" s="34">
        <f t="shared" si="5"/>
        <v>92</v>
      </c>
      <c r="E15" s="34">
        <f t="shared" si="5"/>
        <v>68</v>
      </c>
      <c r="F15" s="34">
        <f t="shared" si="5"/>
        <v>64</v>
      </c>
      <c r="G15" s="34">
        <f t="shared" si="5"/>
        <v>100</v>
      </c>
      <c r="H15" s="34">
        <f t="shared" si="5"/>
        <v>80</v>
      </c>
      <c r="I15" s="34">
        <f t="shared" si="5"/>
        <v>60</v>
      </c>
      <c r="J15" s="34">
        <f t="shared" si="5"/>
        <v>60</v>
      </c>
      <c r="K15" s="34">
        <f t="shared" si="5"/>
        <v>64</v>
      </c>
      <c r="L15" s="34">
        <f t="shared" si="5"/>
        <v>48</v>
      </c>
      <c r="M15" s="9">
        <f t="shared" si="1"/>
        <v>660</v>
      </c>
      <c r="N15" s="8">
        <v>45</v>
      </c>
      <c r="O15" s="8">
        <f t="shared" si="2"/>
        <v>29700</v>
      </c>
    </row>
    <row r="16" spans="1:25" x14ac:dyDescent="0.25">
      <c r="A16" s="3" t="s">
        <v>32</v>
      </c>
      <c r="C16" s="30">
        <f t="shared" ref="C16:L16" si="6">2*C9</f>
        <v>12</v>
      </c>
      <c r="D16" s="34">
        <f t="shared" si="6"/>
        <v>46</v>
      </c>
      <c r="E16" s="34">
        <f t="shared" si="6"/>
        <v>34</v>
      </c>
      <c r="F16" s="34">
        <f t="shared" si="6"/>
        <v>32</v>
      </c>
      <c r="G16" s="34">
        <f t="shared" si="6"/>
        <v>50</v>
      </c>
      <c r="H16" s="34">
        <f t="shared" si="6"/>
        <v>40</v>
      </c>
      <c r="I16" s="34">
        <f t="shared" si="6"/>
        <v>30</v>
      </c>
      <c r="J16" s="34">
        <f t="shared" si="6"/>
        <v>30</v>
      </c>
      <c r="K16" s="34">
        <f t="shared" si="6"/>
        <v>32</v>
      </c>
      <c r="L16" s="34">
        <f t="shared" si="6"/>
        <v>24</v>
      </c>
      <c r="M16" s="9">
        <f t="shared" si="1"/>
        <v>330</v>
      </c>
      <c r="N16" s="8">
        <v>25</v>
      </c>
      <c r="O16" s="8">
        <f t="shared" si="2"/>
        <v>8250</v>
      </c>
    </row>
    <row r="17" spans="1:16" x14ac:dyDescent="0.25">
      <c r="A17" s="3" t="s">
        <v>33</v>
      </c>
      <c r="C17" s="30">
        <v>0</v>
      </c>
      <c r="D17" s="34">
        <v>883</v>
      </c>
      <c r="E17" s="3">
        <v>666</v>
      </c>
      <c r="F17" s="3">
        <v>938</v>
      </c>
      <c r="G17" s="3">
        <v>1392</v>
      </c>
      <c r="H17" s="3">
        <v>792</v>
      </c>
      <c r="I17" s="3">
        <v>592</v>
      </c>
      <c r="J17" s="3">
        <v>566</v>
      </c>
      <c r="K17" s="3">
        <v>606</v>
      </c>
      <c r="L17" s="3">
        <v>463</v>
      </c>
      <c r="M17" s="9">
        <f t="shared" si="1"/>
        <v>6898</v>
      </c>
      <c r="N17" s="8">
        <v>30</v>
      </c>
      <c r="O17" s="8">
        <f t="shared" si="2"/>
        <v>206940</v>
      </c>
    </row>
    <row r="18" spans="1:16" x14ac:dyDescent="0.25">
      <c r="C18" s="3"/>
      <c r="D18" s="3"/>
      <c r="E18" s="3"/>
      <c r="F18" s="3"/>
      <c r="G18" s="3"/>
      <c r="H18" s="3"/>
      <c r="I18" s="3"/>
      <c r="J18" s="3"/>
      <c r="K18" s="3"/>
      <c r="L18" s="3"/>
      <c r="N18" s="8"/>
      <c r="O18" s="8"/>
    </row>
    <row r="19" spans="1:16" x14ac:dyDescent="0.25">
      <c r="C19" s="3"/>
      <c r="D19" s="3"/>
      <c r="E19" s="3"/>
      <c r="F19" s="3"/>
      <c r="G19" s="3"/>
      <c r="H19" s="3"/>
      <c r="I19" s="3"/>
      <c r="J19" s="3"/>
      <c r="K19" s="3"/>
      <c r="L19" s="3"/>
      <c r="N19" s="8"/>
      <c r="O19" s="8"/>
    </row>
    <row r="20" spans="1:16" x14ac:dyDescent="0.25">
      <c r="C20" s="3"/>
      <c r="D20" s="3"/>
      <c r="E20" s="3"/>
      <c r="F20" s="3"/>
      <c r="G20" s="3"/>
      <c r="H20" s="3"/>
      <c r="I20" s="3"/>
      <c r="J20" s="3"/>
      <c r="K20" s="3"/>
      <c r="L20" s="3"/>
    </row>
    <row r="21" spans="1:16" x14ac:dyDescent="0.25">
      <c r="A21" s="3" t="s">
        <v>9</v>
      </c>
      <c r="C21" s="9">
        <f>SUM(C12:C17)</f>
        <v>564</v>
      </c>
      <c r="D21" s="9">
        <f t="shared" ref="D21:L21" si="7">SUM(D12:D17)</f>
        <v>2723</v>
      </c>
      <c r="E21" s="9">
        <f t="shared" si="7"/>
        <v>2026</v>
      </c>
      <c r="F21" s="9">
        <f t="shared" si="7"/>
        <v>2218</v>
      </c>
      <c r="G21" s="9">
        <f t="shared" si="7"/>
        <v>3392</v>
      </c>
      <c r="H21" s="9">
        <f t="shared" si="7"/>
        <v>2392</v>
      </c>
      <c r="I21" s="9">
        <f t="shared" si="7"/>
        <v>1792</v>
      </c>
      <c r="J21" s="9">
        <f t="shared" si="7"/>
        <v>1766</v>
      </c>
      <c r="K21" s="9">
        <f t="shared" si="7"/>
        <v>1886</v>
      </c>
      <c r="L21" s="9">
        <f t="shared" si="7"/>
        <v>1423</v>
      </c>
      <c r="M21" s="9">
        <f>SUM(M12:M17)</f>
        <v>20182</v>
      </c>
      <c r="O21" s="8">
        <f>SUM(O12:O17)</f>
        <v>1268340</v>
      </c>
    </row>
    <row r="22" spans="1:16" x14ac:dyDescent="0.25">
      <c r="C22" s="3"/>
      <c r="D22" s="3"/>
      <c r="E22" s="3"/>
      <c r="F22" s="3"/>
      <c r="G22" s="3"/>
      <c r="H22" s="3"/>
      <c r="I22" s="3"/>
      <c r="J22" s="3"/>
      <c r="K22" s="3"/>
      <c r="L22" s="3"/>
      <c r="O22" s="8"/>
    </row>
    <row r="23" spans="1:16" x14ac:dyDescent="0.25">
      <c r="A23" s="3" t="s">
        <v>10</v>
      </c>
      <c r="B23" s="10"/>
      <c r="C23" s="33">
        <v>40000</v>
      </c>
      <c r="D23" s="33">
        <v>15000</v>
      </c>
      <c r="E23" s="33">
        <v>15000</v>
      </c>
      <c r="F23" s="33">
        <v>15000</v>
      </c>
      <c r="G23" s="33">
        <v>15000</v>
      </c>
      <c r="H23" s="33">
        <v>15000</v>
      </c>
      <c r="I23" s="33">
        <v>15000</v>
      </c>
      <c r="J23" s="33">
        <v>15000</v>
      </c>
      <c r="K23" s="33">
        <v>15000</v>
      </c>
      <c r="L23" s="33">
        <v>15000</v>
      </c>
      <c r="O23" s="8">
        <f>SUM(C23:N23)</f>
        <v>175000</v>
      </c>
    </row>
    <row r="24" spans="1:16" x14ac:dyDescent="0.25">
      <c r="B24" s="10"/>
      <c r="C24" s="12"/>
      <c r="D24" s="12"/>
      <c r="E24" s="12"/>
      <c r="F24" s="12"/>
      <c r="G24" s="12"/>
      <c r="H24" s="12"/>
      <c r="I24" s="12"/>
      <c r="J24" s="12"/>
      <c r="K24" s="12"/>
      <c r="L24" s="12"/>
      <c r="O24" s="8"/>
    </row>
    <row r="25" spans="1:16" x14ac:dyDescent="0.25">
      <c r="A25" s="3" t="s">
        <v>11</v>
      </c>
      <c r="B25" s="10"/>
      <c r="C25" s="33">
        <v>2500</v>
      </c>
      <c r="D25" s="12">
        <v>22900</v>
      </c>
      <c r="E25" s="12">
        <v>16800</v>
      </c>
      <c r="F25" s="12">
        <v>22600</v>
      </c>
      <c r="G25" s="12">
        <v>34500</v>
      </c>
      <c r="H25" s="12">
        <v>19800</v>
      </c>
      <c r="I25" s="12">
        <v>14800</v>
      </c>
      <c r="J25" s="12">
        <v>13300</v>
      </c>
      <c r="K25" s="12">
        <v>14400</v>
      </c>
      <c r="L25" s="12">
        <v>10000</v>
      </c>
      <c r="O25" s="8">
        <f>SUM(C25:N25)</f>
        <v>171600</v>
      </c>
    </row>
    <row r="26" spans="1:16" x14ac:dyDescent="0.25">
      <c r="C26" s="3"/>
      <c r="D26" s="3"/>
      <c r="E26" s="3"/>
      <c r="F26" s="3"/>
      <c r="G26" s="3"/>
      <c r="H26" s="3"/>
      <c r="I26" s="3"/>
      <c r="J26" s="3"/>
      <c r="K26" s="3"/>
      <c r="L26" s="3"/>
      <c r="O26" s="8"/>
    </row>
    <row r="27" spans="1:16" x14ac:dyDescent="0.25">
      <c r="A27" s="3" t="s">
        <v>8</v>
      </c>
      <c r="C27" s="13">
        <f t="shared" ref="C27:L27" si="8">SUM(C12*$W12+C13*$W13+C14*$W14+C15*$W15+C16*$W16+C17*$W17+C23+C25)</f>
        <v>42500</v>
      </c>
      <c r="D27" s="13">
        <f t="shared" si="8"/>
        <v>37900</v>
      </c>
      <c r="E27" s="13">
        <f t="shared" si="8"/>
        <v>31800</v>
      </c>
      <c r="F27" s="13">
        <f t="shared" si="8"/>
        <v>37600</v>
      </c>
      <c r="G27" s="13">
        <f t="shared" si="8"/>
        <v>49500</v>
      </c>
      <c r="H27" s="13">
        <f t="shared" si="8"/>
        <v>34800</v>
      </c>
      <c r="I27" s="13">
        <f t="shared" si="8"/>
        <v>29800</v>
      </c>
      <c r="J27" s="13">
        <f t="shared" si="8"/>
        <v>28300</v>
      </c>
      <c r="K27" s="13">
        <f t="shared" si="8"/>
        <v>29400</v>
      </c>
      <c r="L27" s="13">
        <f t="shared" si="8"/>
        <v>25000</v>
      </c>
      <c r="M27" s="8"/>
      <c r="O27" s="8">
        <f>SUM(O21:O25)</f>
        <v>1614940</v>
      </c>
      <c r="P27" s="1" t="s">
        <v>74</v>
      </c>
    </row>
    <row r="28" spans="1:16" x14ac:dyDescent="0.25">
      <c r="M28" s="8"/>
      <c r="O28" s="8"/>
    </row>
    <row r="29" spans="1:16" x14ac:dyDescent="0.25">
      <c r="A29"/>
      <c r="B29"/>
      <c r="M29" s="11"/>
      <c r="N29" s="10"/>
      <c r="O29" s="11"/>
    </row>
    <row r="30" spans="1:16" x14ac:dyDescent="0.25">
      <c r="A30" s="10"/>
      <c r="B30" s="10"/>
      <c r="M30" s="11"/>
      <c r="N30" s="10"/>
      <c r="O30" s="11"/>
    </row>
    <row r="32" spans="1:16" x14ac:dyDescent="0.25">
      <c r="A32" s="3" t="s">
        <v>12</v>
      </c>
      <c r="B32" s="3" t="s">
        <v>14</v>
      </c>
    </row>
    <row r="34" spans="1:13" x14ac:dyDescent="0.25">
      <c r="M34" s="3" t="s">
        <v>7</v>
      </c>
    </row>
    <row r="35" spans="1:13" x14ac:dyDescent="0.25">
      <c r="A35" s="3" t="s">
        <v>13</v>
      </c>
      <c r="B35" s="3" t="s">
        <v>14</v>
      </c>
    </row>
    <row r="38" spans="1:13" x14ac:dyDescent="0.25">
      <c r="A38" s="3" t="s">
        <v>34</v>
      </c>
      <c r="B38" s="3" t="s">
        <v>14</v>
      </c>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43F-62A7-4152-BF07-395BD8841508}">
  <sheetPr>
    <tabColor rgb="FF00B0F0"/>
  </sheetPr>
  <dimension ref="A1:U50"/>
  <sheetViews>
    <sheetView zoomScale="110" zoomScaleNormal="110" workbookViewId="0">
      <selection activeCell="O30" sqref="O30"/>
    </sheetView>
  </sheetViews>
  <sheetFormatPr defaultRowHeight="12.75" x14ac:dyDescent="0.2"/>
  <cols>
    <col min="1" max="1" width="19.85546875" customWidth="1"/>
    <col min="2" max="7" width="12.5703125" customWidth="1"/>
    <col min="8" max="8" width="11.28515625" customWidth="1"/>
    <col min="9" max="10" width="12.5703125" customWidth="1"/>
    <col min="12" max="12" width="12.5703125" customWidth="1"/>
    <col min="13" max="13" width="13.85546875" customWidth="1"/>
    <col min="14" max="14" width="11" customWidth="1"/>
    <col min="18" max="18" width="10.7109375" customWidth="1"/>
    <col min="24" max="24" width="23.42578125" customWidth="1"/>
    <col min="25" max="25" width="30.140625" customWidth="1"/>
    <col min="26" max="26" width="12.42578125" customWidth="1"/>
  </cols>
  <sheetData>
    <row r="1" spans="1:20" s="18" customFormat="1" x14ac:dyDescent="0.2">
      <c r="A1" s="43" t="s">
        <v>29</v>
      </c>
      <c r="B1" s="21" t="s">
        <v>57</v>
      </c>
      <c r="C1" s="21" t="s">
        <v>61</v>
      </c>
      <c r="D1" s="21" t="s">
        <v>100</v>
      </c>
      <c r="E1" s="21" t="s">
        <v>104</v>
      </c>
      <c r="F1" s="21" t="s">
        <v>105</v>
      </c>
      <c r="G1" s="21" t="s">
        <v>106</v>
      </c>
      <c r="H1" s="21" t="s">
        <v>111</v>
      </c>
      <c r="I1" s="21" t="s">
        <v>107</v>
      </c>
      <c r="J1" s="21" t="s">
        <v>108</v>
      </c>
      <c r="K1" s="21"/>
      <c r="L1" s="21" t="s">
        <v>65</v>
      </c>
      <c r="M1" s="21" t="s">
        <v>109</v>
      </c>
      <c r="N1" s="21" t="s">
        <v>110</v>
      </c>
      <c r="O1" s="21" t="s">
        <v>60</v>
      </c>
      <c r="P1" s="21" t="s">
        <v>62</v>
      </c>
      <c r="Q1" s="21" t="s">
        <v>112</v>
      </c>
      <c r="R1" s="21" t="s">
        <v>113</v>
      </c>
      <c r="S1" s="21" t="s">
        <v>64</v>
      </c>
      <c r="T1" s="21" t="s">
        <v>63</v>
      </c>
    </row>
    <row r="2" spans="1:20" x14ac:dyDescent="0.2">
      <c r="A2" s="21" t="s">
        <v>22</v>
      </c>
    </row>
    <row r="3" spans="1:20" ht="28.5" customHeight="1" x14ac:dyDescent="0.2">
      <c r="A3" s="20" t="s">
        <v>101</v>
      </c>
      <c r="B3" s="46">
        <v>550</v>
      </c>
      <c r="C3" s="46">
        <v>398</v>
      </c>
      <c r="D3" s="46">
        <v>19</v>
      </c>
      <c r="E3" s="46">
        <v>129</v>
      </c>
      <c r="F3" s="46">
        <v>72</v>
      </c>
      <c r="G3" s="46">
        <v>51</v>
      </c>
      <c r="H3" s="46">
        <v>33</v>
      </c>
      <c r="I3" s="46">
        <v>57</v>
      </c>
      <c r="J3" s="46">
        <v>121</v>
      </c>
      <c r="L3" s="46">
        <v>434</v>
      </c>
      <c r="M3" s="46">
        <v>6</v>
      </c>
      <c r="N3" s="46">
        <v>221</v>
      </c>
      <c r="O3" s="46">
        <v>470</v>
      </c>
      <c r="P3" s="46">
        <v>297</v>
      </c>
      <c r="Q3" s="46">
        <v>7</v>
      </c>
      <c r="R3" s="46">
        <v>54</v>
      </c>
      <c r="S3" s="46">
        <v>63</v>
      </c>
      <c r="T3" s="46">
        <v>151</v>
      </c>
    </row>
    <row r="4" spans="1:20" s="55" customFormat="1" x14ac:dyDescent="0.2">
      <c r="A4" s="80" t="s">
        <v>26</v>
      </c>
      <c r="B4" s="55">
        <v>20</v>
      </c>
      <c r="C4" s="55">
        <v>20</v>
      </c>
      <c r="D4" s="55">
        <v>20</v>
      </c>
      <c r="E4" s="55">
        <v>20</v>
      </c>
      <c r="F4" s="55">
        <v>20</v>
      </c>
      <c r="G4" s="55">
        <v>20</v>
      </c>
      <c r="H4" s="55">
        <v>20</v>
      </c>
      <c r="I4" s="55">
        <v>20</v>
      </c>
      <c r="J4" s="55">
        <v>20</v>
      </c>
      <c r="L4" s="55">
        <v>20</v>
      </c>
      <c r="M4" s="55">
        <v>20</v>
      </c>
      <c r="N4" s="55">
        <v>20</v>
      </c>
      <c r="O4" s="55">
        <v>20</v>
      </c>
      <c r="P4" s="55">
        <v>20</v>
      </c>
      <c r="Q4" s="55">
        <v>20</v>
      </c>
      <c r="R4" s="55">
        <v>20</v>
      </c>
      <c r="S4" s="55">
        <v>20</v>
      </c>
      <c r="T4" s="55">
        <v>20</v>
      </c>
    </row>
    <row r="5" spans="1:20" x14ac:dyDescent="0.2">
      <c r="A5" t="s">
        <v>23</v>
      </c>
      <c r="B5">
        <f t="shared" ref="B5:J5" si="0">B3/B4</f>
        <v>27.5</v>
      </c>
      <c r="C5">
        <f t="shared" si="0"/>
        <v>19.899999999999999</v>
      </c>
      <c r="D5">
        <f t="shared" si="0"/>
        <v>0.95</v>
      </c>
      <c r="E5">
        <f t="shared" si="0"/>
        <v>6.45</v>
      </c>
      <c r="F5">
        <f t="shared" si="0"/>
        <v>3.6</v>
      </c>
      <c r="G5">
        <f t="shared" si="0"/>
        <v>2.5499999999999998</v>
      </c>
      <c r="H5">
        <f t="shared" si="0"/>
        <v>1.65</v>
      </c>
      <c r="I5">
        <f t="shared" si="0"/>
        <v>2.85</v>
      </c>
      <c r="J5">
        <f t="shared" si="0"/>
        <v>6.05</v>
      </c>
      <c r="L5">
        <f t="shared" ref="L5:T5" si="1">L3/L4</f>
        <v>21.7</v>
      </c>
      <c r="M5">
        <f t="shared" si="1"/>
        <v>0.3</v>
      </c>
      <c r="N5">
        <f t="shared" si="1"/>
        <v>11.05</v>
      </c>
      <c r="O5">
        <f t="shared" si="1"/>
        <v>23.5</v>
      </c>
      <c r="P5">
        <f t="shared" si="1"/>
        <v>14.85</v>
      </c>
      <c r="Q5">
        <f t="shared" si="1"/>
        <v>0.35</v>
      </c>
      <c r="R5">
        <f t="shared" si="1"/>
        <v>2.7</v>
      </c>
      <c r="S5">
        <f t="shared" si="1"/>
        <v>3.15</v>
      </c>
      <c r="T5">
        <f t="shared" si="1"/>
        <v>7.55</v>
      </c>
    </row>
    <row r="6" spans="1:20" x14ac:dyDescent="0.2">
      <c r="A6" t="s">
        <v>24</v>
      </c>
      <c r="B6">
        <f>B5*0.2</f>
        <v>5.5</v>
      </c>
      <c r="C6">
        <f>C5*0.2</f>
        <v>3.98</v>
      </c>
      <c r="D6">
        <f t="shared" ref="D6:J6" si="2">D5*0.2</f>
        <v>0.19</v>
      </c>
      <c r="E6">
        <f t="shared" si="2"/>
        <v>1.29</v>
      </c>
      <c r="F6">
        <f t="shared" si="2"/>
        <v>0.72000000000000008</v>
      </c>
      <c r="G6">
        <f t="shared" si="2"/>
        <v>0.51</v>
      </c>
      <c r="H6">
        <f>H5*0.2</f>
        <v>0.33</v>
      </c>
      <c r="I6">
        <f t="shared" si="2"/>
        <v>0.57000000000000006</v>
      </c>
      <c r="J6">
        <f t="shared" si="2"/>
        <v>1.21</v>
      </c>
      <c r="L6">
        <f t="shared" ref="L6:T6" si="3">L5*0.2</f>
        <v>4.34</v>
      </c>
      <c r="M6">
        <f t="shared" si="3"/>
        <v>0.06</v>
      </c>
      <c r="N6">
        <f t="shared" si="3"/>
        <v>2.2100000000000004</v>
      </c>
      <c r="O6">
        <f t="shared" si="3"/>
        <v>4.7</v>
      </c>
      <c r="P6">
        <f t="shared" si="3"/>
        <v>2.97</v>
      </c>
      <c r="Q6">
        <f t="shared" si="3"/>
        <v>6.9999999999999993E-2</v>
      </c>
      <c r="R6">
        <f t="shared" si="3"/>
        <v>0.54</v>
      </c>
      <c r="S6">
        <f t="shared" si="3"/>
        <v>0.63</v>
      </c>
      <c r="T6">
        <f t="shared" si="3"/>
        <v>1.51</v>
      </c>
    </row>
    <row r="7" spans="1:20" s="18" customFormat="1" ht="25.5" x14ac:dyDescent="0.2">
      <c r="A7" s="19" t="s">
        <v>50</v>
      </c>
      <c r="B7" s="18">
        <f>B5+B6</f>
        <v>33</v>
      </c>
      <c r="C7" s="18">
        <f>C5+C6</f>
        <v>23.88</v>
      </c>
      <c r="D7" s="18">
        <f t="shared" ref="D7:J7" si="4">D5+D6</f>
        <v>1.1399999999999999</v>
      </c>
      <c r="E7" s="18">
        <f t="shared" si="4"/>
        <v>7.74</v>
      </c>
      <c r="F7" s="18">
        <f t="shared" si="4"/>
        <v>4.32</v>
      </c>
      <c r="G7" s="18">
        <f t="shared" si="4"/>
        <v>3.0599999999999996</v>
      </c>
      <c r="H7" s="18">
        <f>H5+H6</f>
        <v>1.98</v>
      </c>
      <c r="I7" s="18">
        <f t="shared" si="4"/>
        <v>3.42</v>
      </c>
      <c r="J7" s="18">
        <f t="shared" si="4"/>
        <v>7.26</v>
      </c>
      <c r="L7" s="18">
        <f t="shared" ref="L7:T7" si="5">L5+L6</f>
        <v>26.04</v>
      </c>
      <c r="M7" s="18">
        <f t="shared" si="5"/>
        <v>0.36</v>
      </c>
      <c r="N7" s="18">
        <f t="shared" si="5"/>
        <v>13.260000000000002</v>
      </c>
      <c r="O7" s="18">
        <f t="shared" si="5"/>
        <v>28.2</v>
      </c>
      <c r="P7" s="18">
        <f t="shared" si="5"/>
        <v>17.82</v>
      </c>
      <c r="Q7" s="18">
        <f t="shared" si="5"/>
        <v>0.42</v>
      </c>
      <c r="R7" s="18">
        <f t="shared" si="5"/>
        <v>3.24</v>
      </c>
      <c r="S7" s="18">
        <f t="shared" si="5"/>
        <v>3.78</v>
      </c>
      <c r="T7" s="18">
        <f t="shared" si="5"/>
        <v>9.06</v>
      </c>
    </row>
    <row r="9" spans="1:20" x14ac:dyDescent="0.2">
      <c r="A9" s="21" t="s">
        <v>25</v>
      </c>
    </row>
    <row r="10" spans="1:20" ht="14.25" x14ac:dyDescent="0.2">
      <c r="A10" s="1" t="s">
        <v>102</v>
      </c>
      <c r="B10" s="46">
        <v>1021</v>
      </c>
      <c r="C10" s="47">
        <v>756</v>
      </c>
      <c r="D10" s="46">
        <v>78</v>
      </c>
      <c r="E10" s="46">
        <v>304</v>
      </c>
      <c r="F10" s="44">
        <v>146</v>
      </c>
      <c r="G10" s="44">
        <v>29</v>
      </c>
      <c r="H10" s="46">
        <v>28</v>
      </c>
      <c r="I10" s="44">
        <v>41</v>
      </c>
      <c r="J10" s="44">
        <v>48</v>
      </c>
      <c r="L10" s="46">
        <v>445</v>
      </c>
      <c r="M10" s="46">
        <v>25</v>
      </c>
      <c r="N10" s="46">
        <v>251</v>
      </c>
      <c r="O10" s="46">
        <v>564</v>
      </c>
      <c r="P10" s="46">
        <v>310</v>
      </c>
      <c r="Q10" s="46">
        <v>33</v>
      </c>
      <c r="R10" s="46">
        <v>84</v>
      </c>
      <c r="S10" s="46">
        <v>175</v>
      </c>
      <c r="T10" s="46">
        <v>725</v>
      </c>
    </row>
    <row r="11" spans="1:20" s="55" customFormat="1" x14ac:dyDescent="0.2">
      <c r="A11" s="55" t="s">
        <v>26</v>
      </c>
      <c r="B11" s="79">
        <v>25</v>
      </c>
      <c r="C11" s="79">
        <v>25</v>
      </c>
      <c r="D11" s="79">
        <v>25</v>
      </c>
      <c r="E11" s="79">
        <v>25</v>
      </c>
      <c r="F11" s="79">
        <v>25</v>
      </c>
      <c r="G11" s="79">
        <v>25</v>
      </c>
      <c r="H11" s="79">
        <v>25</v>
      </c>
      <c r="I11" s="79">
        <v>25</v>
      </c>
      <c r="J11" s="79">
        <v>25</v>
      </c>
      <c r="K11" s="79"/>
      <c r="L11" s="79">
        <v>25</v>
      </c>
      <c r="M11" s="79">
        <v>25</v>
      </c>
      <c r="N11" s="79">
        <v>25</v>
      </c>
      <c r="O11" s="79">
        <v>25</v>
      </c>
      <c r="P11" s="79">
        <v>25</v>
      </c>
      <c r="Q11" s="79">
        <v>25</v>
      </c>
      <c r="R11" s="79">
        <v>25</v>
      </c>
      <c r="S11" s="79">
        <v>25</v>
      </c>
      <c r="T11" s="79">
        <v>25</v>
      </c>
    </row>
    <row r="12" spans="1:20" x14ac:dyDescent="0.2">
      <c r="A12" s="1" t="s">
        <v>23</v>
      </c>
      <c r="B12" s="23">
        <f>B10/B11</f>
        <v>40.840000000000003</v>
      </c>
      <c r="C12" s="23">
        <f>C10/C11</f>
        <v>30.24</v>
      </c>
      <c r="D12" s="23">
        <f t="shared" ref="D12:J12" si="6">D10/D11</f>
        <v>3.12</v>
      </c>
      <c r="E12" s="23">
        <f t="shared" si="6"/>
        <v>12.16</v>
      </c>
      <c r="F12" s="23">
        <f t="shared" si="6"/>
        <v>5.84</v>
      </c>
      <c r="G12" s="23">
        <f t="shared" si="6"/>
        <v>1.1599999999999999</v>
      </c>
      <c r="H12" s="23">
        <f>H10/H11</f>
        <v>1.1200000000000001</v>
      </c>
      <c r="I12" s="23">
        <f>I10/I11</f>
        <v>1.64</v>
      </c>
      <c r="J12" s="23">
        <f t="shared" si="6"/>
        <v>1.92</v>
      </c>
      <c r="L12" s="23">
        <f t="shared" ref="L12:T12" si="7">L10/L11</f>
        <v>17.8</v>
      </c>
      <c r="M12" s="23">
        <f t="shared" si="7"/>
        <v>1</v>
      </c>
      <c r="N12" s="23">
        <f t="shared" si="7"/>
        <v>10.039999999999999</v>
      </c>
      <c r="O12" s="23">
        <f t="shared" si="7"/>
        <v>22.56</v>
      </c>
      <c r="P12" s="23">
        <f t="shared" si="7"/>
        <v>12.4</v>
      </c>
      <c r="Q12" s="23">
        <f t="shared" si="7"/>
        <v>1.32</v>
      </c>
      <c r="R12" s="23">
        <f t="shared" si="7"/>
        <v>3.36</v>
      </c>
      <c r="S12" s="23">
        <f t="shared" si="7"/>
        <v>7</v>
      </c>
      <c r="T12" s="23">
        <f t="shared" si="7"/>
        <v>29</v>
      </c>
    </row>
    <row r="13" spans="1:20" x14ac:dyDescent="0.2">
      <c r="A13" s="1" t="s">
        <v>24</v>
      </c>
      <c r="B13" s="23">
        <f>B12*0.2</f>
        <v>8.168000000000001</v>
      </c>
      <c r="C13" s="23">
        <f>C12*0.2</f>
        <v>6.048</v>
      </c>
      <c r="D13" s="23">
        <f t="shared" ref="D13:J13" si="8">D12*0.2</f>
        <v>0.62400000000000011</v>
      </c>
      <c r="E13" s="23">
        <f t="shared" si="8"/>
        <v>2.4320000000000004</v>
      </c>
      <c r="F13" s="23">
        <f t="shared" si="8"/>
        <v>1.1679999999999999</v>
      </c>
      <c r="G13" s="23">
        <f t="shared" si="8"/>
        <v>0.23199999999999998</v>
      </c>
      <c r="H13" s="23">
        <f>H12*0.2</f>
        <v>0.22400000000000003</v>
      </c>
      <c r="I13" s="23">
        <f t="shared" si="8"/>
        <v>0.32800000000000001</v>
      </c>
      <c r="J13" s="23">
        <f t="shared" si="8"/>
        <v>0.38400000000000001</v>
      </c>
      <c r="L13" s="23">
        <f t="shared" ref="L13:T13" si="9">L12*0.2</f>
        <v>3.5600000000000005</v>
      </c>
      <c r="M13" s="23">
        <f t="shared" si="9"/>
        <v>0.2</v>
      </c>
      <c r="N13" s="23">
        <f t="shared" si="9"/>
        <v>2.008</v>
      </c>
      <c r="O13" s="23">
        <f t="shared" si="9"/>
        <v>4.5119999999999996</v>
      </c>
      <c r="P13" s="23">
        <f t="shared" si="9"/>
        <v>2.4800000000000004</v>
      </c>
      <c r="Q13" s="23">
        <f t="shared" si="9"/>
        <v>0.26400000000000001</v>
      </c>
      <c r="R13" s="23">
        <f t="shared" si="9"/>
        <v>0.67200000000000004</v>
      </c>
      <c r="S13" s="23">
        <f t="shared" si="9"/>
        <v>1.4000000000000001</v>
      </c>
      <c r="T13" s="23">
        <f t="shared" si="9"/>
        <v>5.8000000000000007</v>
      </c>
    </row>
    <row r="14" spans="1:20" s="18" customFormat="1" ht="25.5" x14ac:dyDescent="0.2">
      <c r="A14" s="19" t="s">
        <v>50</v>
      </c>
      <c r="B14" s="18">
        <f>B12+B13</f>
        <v>49.008000000000003</v>
      </c>
      <c r="C14" s="18">
        <f>C12+C13</f>
        <v>36.287999999999997</v>
      </c>
      <c r="D14" s="18">
        <f t="shared" ref="D14:J14" si="10">D12+D13</f>
        <v>3.7440000000000002</v>
      </c>
      <c r="E14" s="18">
        <f t="shared" si="10"/>
        <v>14.592000000000001</v>
      </c>
      <c r="F14" s="18">
        <f t="shared" si="10"/>
        <v>7.008</v>
      </c>
      <c r="G14" s="18">
        <f t="shared" si="10"/>
        <v>1.3919999999999999</v>
      </c>
      <c r="H14" s="18">
        <f>H12+H13</f>
        <v>1.3440000000000001</v>
      </c>
      <c r="I14" s="18">
        <f t="shared" si="10"/>
        <v>1.968</v>
      </c>
      <c r="J14" s="18">
        <f t="shared" si="10"/>
        <v>2.3039999999999998</v>
      </c>
      <c r="L14" s="18">
        <f t="shared" ref="L14:T14" si="11">L12+L13</f>
        <v>21.36</v>
      </c>
      <c r="M14" s="18">
        <f t="shared" si="11"/>
        <v>1.2</v>
      </c>
      <c r="N14" s="18">
        <f t="shared" si="11"/>
        <v>12.047999999999998</v>
      </c>
      <c r="O14" s="18">
        <f t="shared" si="11"/>
        <v>27.071999999999999</v>
      </c>
      <c r="P14" s="18">
        <f t="shared" si="11"/>
        <v>14.88</v>
      </c>
      <c r="Q14" s="18">
        <f t="shared" si="11"/>
        <v>1.5840000000000001</v>
      </c>
      <c r="R14" s="18">
        <f t="shared" si="11"/>
        <v>4.032</v>
      </c>
      <c r="S14" s="18">
        <f t="shared" si="11"/>
        <v>8.4</v>
      </c>
      <c r="T14" s="18">
        <f t="shared" si="11"/>
        <v>34.799999999999997</v>
      </c>
    </row>
    <row r="16" spans="1:20" x14ac:dyDescent="0.2">
      <c r="A16" s="21" t="s">
        <v>27</v>
      </c>
    </row>
    <row r="17" spans="1:20" ht="14.25" x14ac:dyDescent="0.2">
      <c r="A17" s="1" t="s">
        <v>102</v>
      </c>
      <c r="B17" s="46">
        <v>9853</v>
      </c>
      <c r="C17" s="46">
        <v>4837</v>
      </c>
      <c r="D17" s="46">
        <v>235</v>
      </c>
      <c r="E17" s="46">
        <v>1129</v>
      </c>
      <c r="F17" s="46">
        <v>454</v>
      </c>
      <c r="G17" s="46">
        <v>718</v>
      </c>
      <c r="H17" s="46">
        <v>473</v>
      </c>
      <c r="I17" s="46">
        <v>0</v>
      </c>
      <c r="J17" s="46">
        <v>0</v>
      </c>
      <c r="L17" s="45">
        <v>2894</v>
      </c>
      <c r="M17" s="45">
        <v>109</v>
      </c>
      <c r="N17" s="46">
        <v>930</v>
      </c>
      <c r="O17" s="46">
        <v>3798</v>
      </c>
      <c r="P17" s="46">
        <v>1887</v>
      </c>
      <c r="Q17" s="46">
        <v>0</v>
      </c>
      <c r="R17" s="46">
        <v>830</v>
      </c>
      <c r="S17" s="46">
        <v>1256</v>
      </c>
      <c r="T17" s="46">
        <v>2962</v>
      </c>
    </row>
    <row r="18" spans="1:20" s="55" customFormat="1" x14ac:dyDescent="0.2">
      <c r="A18" s="55" t="s">
        <v>26</v>
      </c>
      <c r="B18" s="55">
        <v>100</v>
      </c>
      <c r="C18" s="55">
        <v>100</v>
      </c>
      <c r="D18" s="55">
        <v>100</v>
      </c>
      <c r="E18" s="55">
        <v>100</v>
      </c>
      <c r="F18" s="55">
        <v>100</v>
      </c>
      <c r="G18" s="55">
        <v>100</v>
      </c>
      <c r="H18" s="55">
        <v>100</v>
      </c>
      <c r="I18" s="55">
        <v>100</v>
      </c>
      <c r="J18" s="55">
        <v>100</v>
      </c>
      <c r="L18" s="55">
        <v>100</v>
      </c>
      <c r="M18" s="55">
        <v>100</v>
      </c>
      <c r="N18" s="55">
        <v>100</v>
      </c>
      <c r="O18" s="55">
        <v>100</v>
      </c>
      <c r="P18" s="55">
        <v>100</v>
      </c>
      <c r="Q18" s="55">
        <v>100</v>
      </c>
      <c r="R18" s="55">
        <v>100</v>
      </c>
      <c r="S18" s="55">
        <v>100</v>
      </c>
      <c r="T18" s="55">
        <v>100</v>
      </c>
    </row>
    <row r="19" spans="1:20" x14ac:dyDescent="0.2">
      <c r="A19" s="1" t="s">
        <v>23</v>
      </c>
      <c r="B19" s="23">
        <f>B17/B18</f>
        <v>98.53</v>
      </c>
      <c r="C19" s="23">
        <f>C17/C18</f>
        <v>48.37</v>
      </c>
      <c r="D19" s="23">
        <f t="shared" ref="D19:J19" si="12">D17/D18</f>
        <v>2.35</v>
      </c>
      <c r="E19" s="23">
        <f t="shared" si="12"/>
        <v>11.29</v>
      </c>
      <c r="F19" s="23">
        <f t="shared" si="12"/>
        <v>4.54</v>
      </c>
      <c r="G19" s="23">
        <f>G17/G18</f>
        <v>7.18</v>
      </c>
      <c r="H19" s="23">
        <f>H17/H18</f>
        <v>4.7300000000000004</v>
      </c>
      <c r="I19" s="23">
        <f t="shared" si="12"/>
        <v>0</v>
      </c>
      <c r="J19" s="23">
        <f t="shared" si="12"/>
        <v>0</v>
      </c>
      <c r="L19" s="23">
        <f t="shared" ref="L19:T19" si="13">L17/L18</f>
        <v>28.94</v>
      </c>
      <c r="M19" s="23">
        <f t="shared" si="13"/>
        <v>1.0900000000000001</v>
      </c>
      <c r="N19" s="23">
        <f t="shared" si="13"/>
        <v>9.3000000000000007</v>
      </c>
      <c r="O19" s="23">
        <f t="shared" si="13"/>
        <v>37.979999999999997</v>
      </c>
      <c r="P19" s="23">
        <f t="shared" si="13"/>
        <v>18.87</v>
      </c>
      <c r="Q19" s="23">
        <f t="shared" si="13"/>
        <v>0</v>
      </c>
      <c r="R19" s="23">
        <f t="shared" si="13"/>
        <v>8.3000000000000007</v>
      </c>
      <c r="S19" s="23">
        <f t="shared" si="13"/>
        <v>12.56</v>
      </c>
      <c r="T19" s="23">
        <f t="shared" si="13"/>
        <v>29.62</v>
      </c>
    </row>
    <row r="20" spans="1:20" x14ac:dyDescent="0.2">
      <c r="A20" s="1" t="s">
        <v>24</v>
      </c>
      <c r="B20" s="23">
        <f>B19*0.2</f>
        <v>19.706000000000003</v>
      </c>
      <c r="C20" s="23">
        <f>C19*0.2</f>
        <v>9.6739999999999995</v>
      </c>
      <c r="D20" s="23">
        <f t="shared" ref="D20:J20" si="14">D19*0.2</f>
        <v>0.47000000000000003</v>
      </c>
      <c r="E20" s="23">
        <f t="shared" si="14"/>
        <v>2.258</v>
      </c>
      <c r="F20" s="23">
        <f t="shared" si="14"/>
        <v>0.90800000000000003</v>
      </c>
      <c r="G20" s="23">
        <f t="shared" si="14"/>
        <v>1.4359999999999999</v>
      </c>
      <c r="H20" s="23">
        <f>H19*0.2</f>
        <v>0.94600000000000017</v>
      </c>
      <c r="I20" s="23">
        <f t="shared" si="14"/>
        <v>0</v>
      </c>
      <c r="J20" s="23">
        <f t="shared" si="14"/>
        <v>0</v>
      </c>
      <c r="L20" s="23">
        <f t="shared" ref="L20:T20" si="15">L19*0.2</f>
        <v>5.7880000000000003</v>
      </c>
      <c r="M20" s="23">
        <f t="shared" si="15"/>
        <v>0.21800000000000003</v>
      </c>
      <c r="N20" s="23">
        <f t="shared" si="15"/>
        <v>1.8600000000000003</v>
      </c>
      <c r="O20" s="23">
        <f t="shared" si="15"/>
        <v>7.5960000000000001</v>
      </c>
      <c r="P20" s="23">
        <f t="shared" si="15"/>
        <v>3.7740000000000005</v>
      </c>
      <c r="Q20" s="23">
        <f t="shared" si="15"/>
        <v>0</v>
      </c>
      <c r="R20" s="23">
        <f t="shared" si="15"/>
        <v>1.6600000000000001</v>
      </c>
      <c r="S20" s="23">
        <f t="shared" si="15"/>
        <v>2.5120000000000005</v>
      </c>
      <c r="T20" s="23">
        <f t="shared" si="15"/>
        <v>5.9240000000000004</v>
      </c>
    </row>
    <row r="21" spans="1:20" s="19" customFormat="1" ht="25.5" x14ac:dyDescent="0.2">
      <c r="A21" s="19" t="s">
        <v>50</v>
      </c>
      <c r="B21" s="24">
        <f>B20+B19</f>
        <v>118.236</v>
      </c>
      <c r="C21" s="24">
        <f>C20+C19</f>
        <v>58.043999999999997</v>
      </c>
      <c r="D21" s="24">
        <f t="shared" ref="D21:J21" si="16">D20+D19</f>
        <v>2.8200000000000003</v>
      </c>
      <c r="E21" s="24">
        <f t="shared" si="16"/>
        <v>13.547999999999998</v>
      </c>
      <c r="F21" s="24">
        <f t="shared" si="16"/>
        <v>5.4480000000000004</v>
      </c>
      <c r="G21" s="24">
        <f t="shared" si="16"/>
        <v>8.6159999999999997</v>
      </c>
      <c r="H21" s="24">
        <f>H20+H19</f>
        <v>5.6760000000000002</v>
      </c>
      <c r="I21" s="24">
        <f t="shared" si="16"/>
        <v>0</v>
      </c>
      <c r="J21" s="24">
        <f t="shared" si="16"/>
        <v>0</v>
      </c>
      <c r="L21" s="24">
        <f t="shared" ref="L21:T21" si="17">L20+L19</f>
        <v>34.728000000000002</v>
      </c>
      <c r="M21" s="24">
        <f t="shared" si="17"/>
        <v>1.3080000000000001</v>
      </c>
      <c r="N21" s="24">
        <f t="shared" si="17"/>
        <v>11.16</v>
      </c>
      <c r="O21" s="24">
        <f t="shared" si="17"/>
        <v>45.575999999999993</v>
      </c>
      <c r="P21" s="24">
        <f t="shared" si="17"/>
        <v>22.644000000000002</v>
      </c>
      <c r="Q21" s="24">
        <f t="shared" si="17"/>
        <v>0</v>
      </c>
      <c r="R21" s="24">
        <f t="shared" si="17"/>
        <v>9.9600000000000009</v>
      </c>
      <c r="S21" s="24">
        <f t="shared" si="17"/>
        <v>15.072000000000001</v>
      </c>
      <c r="T21" s="24">
        <f t="shared" si="17"/>
        <v>35.544000000000004</v>
      </c>
    </row>
    <row r="23" spans="1:20" x14ac:dyDescent="0.2">
      <c r="A23" s="22" t="s">
        <v>28</v>
      </c>
    </row>
    <row r="24" spans="1:20" ht="25.5" x14ac:dyDescent="0.2">
      <c r="A24" s="20" t="s">
        <v>103</v>
      </c>
      <c r="B24" s="46">
        <v>1901</v>
      </c>
      <c r="C24" s="46">
        <v>1790</v>
      </c>
      <c r="D24" s="46">
        <v>374</v>
      </c>
      <c r="E24" s="46">
        <v>1446</v>
      </c>
      <c r="F24" s="44">
        <v>980</v>
      </c>
      <c r="G24" s="44">
        <v>306</v>
      </c>
      <c r="H24" s="45">
        <v>362</v>
      </c>
      <c r="I24" s="44">
        <v>1233</v>
      </c>
      <c r="J24" s="44">
        <v>132</v>
      </c>
      <c r="L24" s="45">
        <v>2521</v>
      </c>
      <c r="M24" s="45">
        <v>103</v>
      </c>
      <c r="N24" s="45">
        <v>1474</v>
      </c>
      <c r="O24" s="45">
        <v>1968</v>
      </c>
      <c r="P24" s="45">
        <v>1189</v>
      </c>
      <c r="Q24" s="45">
        <v>527</v>
      </c>
      <c r="R24" s="45">
        <v>400</v>
      </c>
      <c r="S24" s="45">
        <v>651</v>
      </c>
      <c r="T24" s="45">
        <v>1144</v>
      </c>
    </row>
    <row r="25" spans="1:20" s="55" customFormat="1" x14ac:dyDescent="0.2">
      <c r="A25" s="55" t="s">
        <v>26</v>
      </c>
      <c r="B25" s="55">
        <v>50</v>
      </c>
      <c r="C25" s="55">
        <v>50</v>
      </c>
      <c r="D25" s="55">
        <v>50</v>
      </c>
      <c r="E25" s="55">
        <v>50</v>
      </c>
      <c r="F25" s="55">
        <v>50</v>
      </c>
      <c r="G25" s="55">
        <v>50</v>
      </c>
      <c r="H25" s="55">
        <v>50</v>
      </c>
      <c r="I25" s="55">
        <v>50</v>
      </c>
      <c r="J25" s="55">
        <v>50</v>
      </c>
      <c r="L25" s="55">
        <v>50</v>
      </c>
      <c r="M25" s="55">
        <v>50</v>
      </c>
      <c r="N25" s="55">
        <v>50</v>
      </c>
      <c r="O25" s="55">
        <v>50</v>
      </c>
      <c r="P25" s="55">
        <v>50</v>
      </c>
      <c r="Q25" s="55">
        <v>50</v>
      </c>
      <c r="R25" s="55">
        <v>50</v>
      </c>
      <c r="S25" s="55">
        <v>50</v>
      </c>
      <c r="T25" s="55">
        <v>50</v>
      </c>
    </row>
    <row r="26" spans="1:20" x14ac:dyDescent="0.2">
      <c r="A26" s="1" t="s">
        <v>23</v>
      </c>
      <c r="B26">
        <f>B24/B25</f>
        <v>38.020000000000003</v>
      </c>
      <c r="C26">
        <f>C24/C25</f>
        <v>35.799999999999997</v>
      </c>
      <c r="D26">
        <f t="shared" ref="D26:J26" si="18">D24/D25</f>
        <v>7.48</v>
      </c>
      <c r="E26">
        <f t="shared" si="18"/>
        <v>28.92</v>
      </c>
      <c r="F26">
        <f t="shared" si="18"/>
        <v>19.600000000000001</v>
      </c>
      <c r="G26">
        <f t="shared" si="18"/>
        <v>6.12</v>
      </c>
      <c r="H26">
        <f>H24/H25</f>
        <v>7.24</v>
      </c>
      <c r="I26">
        <f t="shared" si="18"/>
        <v>24.66</v>
      </c>
      <c r="J26">
        <f t="shared" si="18"/>
        <v>2.64</v>
      </c>
      <c r="L26">
        <f t="shared" ref="L26:T26" si="19">L24/L25</f>
        <v>50.42</v>
      </c>
      <c r="M26">
        <f t="shared" si="19"/>
        <v>2.06</v>
      </c>
      <c r="N26">
        <f t="shared" si="19"/>
        <v>29.48</v>
      </c>
      <c r="O26">
        <f t="shared" si="19"/>
        <v>39.36</v>
      </c>
      <c r="P26">
        <f t="shared" si="19"/>
        <v>23.78</v>
      </c>
      <c r="Q26">
        <f t="shared" si="19"/>
        <v>10.54</v>
      </c>
      <c r="R26">
        <f t="shared" si="19"/>
        <v>8</v>
      </c>
      <c r="S26">
        <f t="shared" si="19"/>
        <v>13.02</v>
      </c>
      <c r="T26">
        <f t="shared" si="19"/>
        <v>22.88</v>
      </c>
    </row>
    <row r="27" spans="1:20" x14ac:dyDescent="0.2">
      <c r="A27" s="1" t="s">
        <v>46</v>
      </c>
      <c r="B27">
        <f>B26*0.3</f>
        <v>11.406000000000001</v>
      </c>
      <c r="C27">
        <f>C26*0.3</f>
        <v>10.739999999999998</v>
      </c>
      <c r="D27">
        <f t="shared" ref="D27:J27" si="20">D26*0.3</f>
        <v>2.2440000000000002</v>
      </c>
      <c r="E27">
        <f t="shared" si="20"/>
        <v>8.6760000000000002</v>
      </c>
      <c r="F27">
        <f t="shared" si="20"/>
        <v>5.88</v>
      </c>
      <c r="G27">
        <f t="shared" si="20"/>
        <v>1.8359999999999999</v>
      </c>
      <c r="H27">
        <f>H26*0.3</f>
        <v>2.1720000000000002</v>
      </c>
      <c r="I27">
        <f t="shared" si="20"/>
        <v>7.3979999999999997</v>
      </c>
      <c r="J27">
        <f t="shared" si="20"/>
        <v>0.79200000000000004</v>
      </c>
      <c r="L27">
        <f t="shared" ref="L27:T27" si="21">L26*0.3</f>
        <v>15.125999999999999</v>
      </c>
      <c r="M27">
        <f t="shared" si="21"/>
        <v>0.61799999999999999</v>
      </c>
      <c r="N27">
        <f t="shared" si="21"/>
        <v>8.8439999999999994</v>
      </c>
      <c r="O27">
        <f t="shared" si="21"/>
        <v>11.808</v>
      </c>
      <c r="P27">
        <f t="shared" si="21"/>
        <v>7.1340000000000003</v>
      </c>
      <c r="Q27">
        <f t="shared" si="21"/>
        <v>3.1619999999999995</v>
      </c>
      <c r="R27">
        <f t="shared" si="21"/>
        <v>2.4</v>
      </c>
      <c r="S27">
        <f t="shared" si="21"/>
        <v>3.9059999999999997</v>
      </c>
      <c r="T27">
        <f t="shared" si="21"/>
        <v>6.8639999999999999</v>
      </c>
    </row>
    <row r="28" spans="1:20" s="18" customFormat="1" ht="25.5" x14ac:dyDescent="0.2">
      <c r="A28" s="19" t="s">
        <v>50</v>
      </c>
      <c r="B28" s="18">
        <f>B26+B27</f>
        <v>49.426000000000002</v>
      </c>
      <c r="C28" s="18">
        <f>C26+C27</f>
        <v>46.539999999999992</v>
      </c>
      <c r="D28" s="18">
        <f t="shared" ref="D28:J28" si="22">D26+D27</f>
        <v>9.7240000000000002</v>
      </c>
      <c r="E28" s="18">
        <f t="shared" si="22"/>
        <v>37.596000000000004</v>
      </c>
      <c r="F28" s="18">
        <f t="shared" si="22"/>
        <v>25.48</v>
      </c>
      <c r="G28" s="18">
        <f t="shared" si="22"/>
        <v>7.9559999999999995</v>
      </c>
      <c r="H28" s="18">
        <f>H26+H27</f>
        <v>9.4120000000000008</v>
      </c>
      <c r="I28" s="18">
        <f t="shared" si="22"/>
        <v>32.058</v>
      </c>
      <c r="J28" s="18">
        <f t="shared" si="22"/>
        <v>3.4320000000000004</v>
      </c>
      <c r="L28" s="18">
        <f t="shared" ref="L28:T28" si="23">L26+L27</f>
        <v>65.546000000000006</v>
      </c>
      <c r="M28" s="18">
        <f t="shared" si="23"/>
        <v>2.6779999999999999</v>
      </c>
      <c r="N28" s="18">
        <f t="shared" si="23"/>
        <v>38.323999999999998</v>
      </c>
      <c r="O28" s="18">
        <f t="shared" si="23"/>
        <v>51.167999999999999</v>
      </c>
      <c r="P28" s="18">
        <f t="shared" si="23"/>
        <v>30.914000000000001</v>
      </c>
      <c r="Q28" s="18">
        <f t="shared" si="23"/>
        <v>13.701999999999998</v>
      </c>
      <c r="R28" s="18">
        <f t="shared" si="23"/>
        <v>10.4</v>
      </c>
      <c r="S28" s="18">
        <f t="shared" si="23"/>
        <v>16.925999999999998</v>
      </c>
      <c r="T28" s="18">
        <f t="shared" si="23"/>
        <v>29.744</v>
      </c>
    </row>
    <row r="30" spans="1:20" ht="25.5" x14ac:dyDescent="0.2">
      <c r="A30" s="94" t="s">
        <v>302</v>
      </c>
      <c r="B30" s="55">
        <f>ROUNDUP((B35*4)/7,0)</f>
        <v>10</v>
      </c>
      <c r="C30" s="55">
        <f t="shared" ref="C30:T30" si="24">ROUNDUP((C35*4)/7,0)</f>
        <v>6</v>
      </c>
      <c r="D30" s="55">
        <f t="shared" si="24"/>
        <v>3</v>
      </c>
      <c r="E30" s="55">
        <f t="shared" si="24"/>
        <v>5</v>
      </c>
      <c r="F30" s="55">
        <f>ROUNDUP((F35*4)/7,0)</f>
        <v>1</v>
      </c>
      <c r="G30" s="55">
        <f t="shared" si="24"/>
        <v>4</v>
      </c>
      <c r="H30" s="55">
        <f t="shared" si="24"/>
        <v>2</v>
      </c>
      <c r="I30" s="55">
        <f t="shared" si="24"/>
        <v>2</v>
      </c>
      <c r="J30" s="55">
        <f t="shared" si="24"/>
        <v>3</v>
      </c>
      <c r="K30" s="55"/>
      <c r="L30" s="55">
        <f t="shared" si="24"/>
        <v>2</v>
      </c>
      <c r="M30" s="55">
        <f t="shared" si="24"/>
        <v>2</v>
      </c>
      <c r="N30" s="55">
        <f t="shared" si="24"/>
        <v>19</v>
      </c>
      <c r="O30" s="55">
        <f t="shared" si="24"/>
        <v>24</v>
      </c>
      <c r="P30" s="55">
        <f t="shared" si="24"/>
        <v>11</v>
      </c>
      <c r="Q30" s="55">
        <f t="shared" si="24"/>
        <v>3</v>
      </c>
      <c r="R30" s="55">
        <f t="shared" si="24"/>
        <v>3</v>
      </c>
      <c r="S30" s="55">
        <f t="shared" si="24"/>
        <v>7</v>
      </c>
      <c r="T30" s="55">
        <f t="shared" si="24"/>
        <v>3</v>
      </c>
    </row>
    <row r="32" spans="1:20" s="26" customFormat="1" ht="30" x14ac:dyDescent="0.25">
      <c r="A32" s="25" t="s">
        <v>293</v>
      </c>
      <c r="B32" s="27">
        <f t="shared" ref="B32:J32" si="25">B28+B21+B14+B7</f>
        <v>249.67000000000002</v>
      </c>
      <c r="C32" s="27">
        <f t="shared" si="25"/>
        <v>164.75199999999998</v>
      </c>
      <c r="D32" s="27">
        <f t="shared" si="25"/>
        <v>17.428000000000001</v>
      </c>
      <c r="E32" s="27">
        <f t="shared" si="25"/>
        <v>73.475999999999999</v>
      </c>
      <c r="F32" s="27">
        <f t="shared" si="25"/>
        <v>42.256</v>
      </c>
      <c r="G32" s="27">
        <f t="shared" si="25"/>
        <v>21.023999999999997</v>
      </c>
      <c r="H32" s="27">
        <f t="shared" si="25"/>
        <v>18.412000000000003</v>
      </c>
      <c r="I32" s="27">
        <f t="shared" si="25"/>
        <v>37.445999999999998</v>
      </c>
      <c r="J32" s="27">
        <f t="shared" si="25"/>
        <v>12.996</v>
      </c>
      <c r="L32" s="27">
        <f t="shared" ref="L32:T32" si="26">L28+L21+L14+L7</f>
        <v>147.67400000000001</v>
      </c>
      <c r="M32" s="27">
        <f t="shared" si="26"/>
        <v>5.5460000000000003</v>
      </c>
      <c r="N32" s="27">
        <f t="shared" si="26"/>
        <v>74.792000000000002</v>
      </c>
      <c r="O32" s="27">
        <f t="shared" si="26"/>
        <v>152.01599999999999</v>
      </c>
      <c r="P32" s="27">
        <f t="shared" si="26"/>
        <v>86.25800000000001</v>
      </c>
      <c r="Q32" s="27">
        <f t="shared" si="26"/>
        <v>15.705999999999998</v>
      </c>
      <c r="R32" s="27">
        <f t="shared" si="26"/>
        <v>27.631999999999998</v>
      </c>
      <c r="S32" s="27">
        <f t="shared" si="26"/>
        <v>44.177999999999997</v>
      </c>
      <c r="T32" s="27">
        <f t="shared" si="26"/>
        <v>109.14800000000001</v>
      </c>
    </row>
    <row r="33" spans="1:21" s="26" customFormat="1" ht="43.5" hidden="1" x14ac:dyDescent="0.25">
      <c r="A33" s="89" t="s">
        <v>52</v>
      </c>
      <c r="B33" s="90">
        <f>B32*1.1</f>
        <v>274.63700000000006</v>
      </c>
      <c r="C33" s="90">
        <f>C32*1.1</f>
        <v>181.22719999999998</v>
      </c>
      <c r="D33" s="90">
        <f>D32*1.1</f>
        <v>19.170800000000003</v>
      </c>
      <c r="E33" s="90">
        <f t="shared" ref="E33:J33" si="27">E32*1.1</f>
        <v>80.823599999999999</v>
      </c>
      <c r="F33" s="90">
        <f t="shared" si="27"/>
        <v>46.481600000000007</v>
      </c>
      <c r="G33" s="90">
        <f t="shared" si="27"/>
        <v>23.1264</v>
      </c>
      <c r="H33" s="90">
        <f>H32*1.1</f>
        <v>20.253200000000003</v>
      </c>
      <c r="I33" s="90">
        <f t="shared" si="27"/>
        <v>41.190600000000003</v>
      </c>
      <c r="J33" s="90">
        <f t="shared" si="27"/>
        <v>14.295600000000002</v>
      </c>
      <c r="K33" s="91"/>
      <c r="L33" s="90">
        <f>L32*1.1</f>
        <v>162.44140000000002</v>
      </c>
      <c r="M33" s="90">
        <f t="shared" ref="M33:T33" si="28">M32*1.1</f>
        <v>6.1006000000000009</v>
      </c>
      <c r="N33" s="90">
        <f t="shared" si="28"/>
        <v>82.271200000000007</v>
      </c>
      <c r="O33" s="90">
        <f t="shared" si="28"/>
        <v>167.2176</v>
      </c>
      <c r="P33" s="90">
        <f t="shared" si="28"/>
        <v>94.883800000000022</v>
      </c>
      <c r="Q33" s="90">
        <f t="shared" si="28"/>
        <v>17.276599999999998</v>
      </c>
      <c r="R33" s="90">
        <f t="shared" si="28"/>
        <v>30.395199999999999</v>
      </c>
      <c r="S33" s="90">
        <f t="shared" si="28"/>
        <v>48.595800000000004</v>
      </c>
      <c r="T33" s="90">
        <f t="shared" si="28"/>
        <v>120.06280000000002</v>
      </c>
    </row>
    <row r="34" spans="1:21" s="26" customFormat="1" ht="15" x14ac:dyDescent="0.25">
      <c r="A34" s="31"/>
    </row>
    <row r="35" spans="1:21" s="26" customFormat="1" ht="15" x14ac:dyDescent="0.25">
      <c r="A35" s="31" t="s">
        <v>51</v>
      </c>
      <c r="B35" s="46">
        <v>17</v>
      </c>
      <c r="C35" s="46">
        <v>9</v>
      </c>
      <c r="D35" s="46">
        <v>5</v>
      </c>
      <c r="E35" s="46">
        <v>8</v>
      </c>
      <c r="F35" s="46">
        <v>1</v>
      </c>
      <c r="G35" s="46">
        <v>7</v>
      </c>
      <c r="H35" s="46">
        <v>3</v>
      </c>
      <c r="I35" s="46">
        <v>2</v>
      </c>
      <c r="J35" s="46">
        <v>4</v>
      </c>
      <c r="L35" s="46">
        <v>3</v>
      </c>
      <c r="M35" s="46">
        <v>2</v>
      </c>
      <c r="N35" s="46">
        <v>32</v>
      </c>
      <c r="O35" s="46">
        <v>41</v>
      </c>
      <c r="P35" s="46">
        <v>19</v>
      </c>
      <c r="Q35" s="46">
        <v>4</v>
      </c>
      <c r="R35" s="46">
        <v>4</v>
      </c>
      <c r="S35" s="46">
        <v>12</v>
      </c>
      <c r="T35" s="46">
        <v>5</v>
      </c>
    </row>
    <row r="36" spans="1:21" s="26" customFormat="1" ht="15" x14ac:dyDescent="0.25">
      <c r="A36" s="31"/>
    </row>
    <row r="37" spans="1:21" s="18" customFormat="1" ht="25.5" x14ac:dyDescent="0.2">
      <c r="A37" s="68" t="s">
        <v>30</v>
      </c>
      <c r="B37" s="81">
        <f>B32/40</f>
        <v>6.2417500000000006</v>
      </c>
      <c r="C37" s="81">
        <f t="shared" ref="C37:T37" si="29">C32/40</f>
        <v>4.1187999999999994</v>
      </c>
      <c r="D37" s="81">
        <f>D32/40</f>
        <v>0.43570000000000003</v>
      </c>
      <c r="E37" s="81">
        <f t="shared" si="29"/>
        <v>1.8369</v>
      </c>
      <c r="F37" s="81">
        <f t="shared" si="29"/>
        <v>1.0564</v>
      </c>
      <c r="G37" s="81">
        <f t="shared" si="29"/>
        <v>0.52559999999999996</v>
      </c>
      <c r="H37" s="81">
        <f t="shared" si="29"/>
        <v>0.46030000000000004</v>
      </c>
      <c r="I37" s="81">
        <f t="shared" si="29"/>
        <v>0.93614999999999993</v>
      </c>
      <c r="J37" s="81">
        <f t="shared" si="29"/>
        <v>0.32490000000000002</v>
      </c>
      <c r="K37" s="81"/>
      <c r="L37" s="81">
        <f t="shared" si="29"/>
        <v>3.6918500000000001</v>
      </c>
      <c r="M37" s="81">
        <f t="shared" si="29"/>
        <v>0.13865</v>
      </c>
      <c r="N37" s="81">
        <f t="shared" si="29"/>
        <v>1.8698000000000001</v>
      </c>
      <c r="O37" s="81">
        <f t="shared" si="29"/>
        <v>3.8003999999999998</v>
      </c>
      <c r="P37" s="81">
        <f t="shared" si="29"/>
        <v>2.1564500000000004</v>
      </c>
      <c r="Q37" s="81">
        <f t="shared" si="29"/>
        <v>0.39264999999999994</v>
      </c>
      <c r="R37" s="81">
        <f t="shared" si="29"/>
        <v>0.69079999999999997</v>
      </c>
      <c r="S37" s="81">
        <f t="shared" si="29"/>
        <v>1.1044499999999999</v>
      </c>
      <c r="T37" s="81">
        <f t="shared" si="29"/>
        <v>2.7287000000000003</v>
      </c>
    </row>
    <row r="38" spans="1:21" ht="31.5" customHeight="1" x14ac:dyDescent="0.2">
      <c r="A38" s="68" t="s">
        <v>324</v>
      </c>
      <c r="B38" s="81">
        <v>2.4312499999999999</v>
      </c>
      <c r="C38" s="81">
        <v>1.75</v>
      </c>
      <c r="D38" s="81">
        <v>1.34375</v>
      </c>
      <c r="E38" s="81">
        <v>2.0750000000000002</v>
      </c>
      <c r="F38" s="81">
        <v>1.0687500000000001</v>
      </c>
      <c r="G38" s="81">
        <v>1.48125</v>
      </c>
      <c r="H38" s="81">
        <v>1.46875</v>
      </c>
      <c r="I38" s="81">
        <v>1.1375</v>
      </c>
      <c r="J38" s="81">
        <v>1.2749999999999999</v>
      </c>
      <c r="K38" s="81"/>
      <c r="L38" s="81">
        <v>2.4937499999999999</v>
      </c>
      <c r="M38" s="81">
        <v>1.1375</v>
      </c>
      <c r="N38" s="81">
        <v>3.2</v>
      </c>
      <c r="O38" s="81">
        <v>3.8187500000000001</v>
      </c>
      <c r="P38" s="81">
        <v>2.4375</v>
      </c>
      <c r="Q38" s="81">
        <v>1.40625</v>
      </c>
      <c r="R38" s="81">
        <v>1.2749999999999999</v>
      </c>
      <c r="S38" s="81">
        <v>1.95625</v>
      </c>
      <c r="T38" s="81">
        <v>1.8687499999999999</v>
      </c>
    </row>
    <row r="39" spans="1:21" ht="30" customHeight="1" x14ac:dyDescent="0.2">
      <c r="A39" s="101" t="s">
        <v>325</v>
      </c>
      <c r="B39">
        <f>B38+B37+B30</f>
        <v>18.673000000000002</v>
      </c>
      <c r="C39">
        <f t="shared" ref="C39:T39" si="30">C38+C37+C30</f>
        <v>11.8688</v>
      </c>
      <c r="D39">
        <f t="shared" si="30"/>
        <v>4.7794499999999998</v>
      </c>
      <c r="E39">
        <f t="shared" si="30"/>
        <v>8.9118999999999993</v>
      </c>
      <c r="F39">
        <f t="shared" si="30"/>
        <v>3.1251500000000001</v>
      </c>
      <c r="G39">
        <f t="shared" si="30"/>
        <v>6.00685</v>
      </c>
      <c r="H39">
        <f t="shared" si="30"/>
        <v>3.9290500000000002</v>
      </c>
      <c r="I39">
        <f t="shared" si="30"/>
        <v>4.0736499999999998</v>
      </c>
      <c r="J39">
        <f t="shared" si="30"/>
        <v>4.5998999999999999</v>
      </c>
      <c r="L39">
        <f t="shared" si="30"/>
        <v>8.1856000000000009</v>
      </c>
      <c r="M39">
        <f t="shared" si="30"/>
        <v>3.2761499999999999</v>
      </c>
      <c r="N39">
        <f t="shared" si="30"/>
        <v>24.069800000000001</v>
      </c>
      <c r="O39">
        <f t="shared" si="30"/>
        <v>31.619149999999998</v>
      </c>
      <c r="P39">
        <f t="shared" si="30"/>
        <v>15.59395</v>
      </c>
      <c r="Q39">
        <f t="shared" si="30"/>
        <v>4.7988999999999997</v>
      </c>
      <c r="R39">
        <f t="shared" si="30"/>
        <v>4.9657999999999998</v>
      </c>
      <c r="S39">
        <f t="shared" si="30"/>
        <v>10.060700000000001</v>
      </c>
      <c r="T39">
        <f t="shared" si="30"/>
        <v>7.5974500000000003</v>
      </c>
      <c r="U39" s="102">
        <f t="shared" ref="U39:U40" si="31">SUM(B39:T39)</f>
        <v>176.13525000000001</v>
      </c>
    </row>
    <row r="40" spans="1:21" ht="21" customHeight="1" x14ac:dyDescent="0.2">
      <c r="A40" s="20" t="s">
        <v>53</v>
      </c>
      <c r="B40" s="23">
        <f>B39*40</f>
        <v>746.92000000000007</v>
      </c>
      <c r="C40" s="23">
        <f t="shared" ref="C40:T40" si="32">C39*40</f>
        <v>474.75200000000001</v>
      </c>
      <c r="D40" s="23">
        <f t="shared" si="32"/>
        <v>191.178</v>
      </c>
      <c r="E40" s="23">
        <f t="shared" si="32"/>
        <v>356.476</v>
      </c>
      <c r="F40" s="23">
        <f t="shared" si="32"/>
        <v>125.006</v>
      </c>
      <c r="G40" s="23">
        <f t="shared" si="32"/>
        <v>240.274</v>
      </c>
      <c r="H40" s="23">
        <f t="shared" si="32"/>
        <v>157.16200000000001</v>
      </c>
      <c r="I40" s="23">
        <f t="shared" si="32"/>
        <v>162.946</v>
      </c>
      <c r="J40" s="23">
        <f t="shared" si="32"/>
        <v>183.99599999999998</v>
      </c>
      <c r="K40" s="23"/>
      <c r="L40" s="23">
        <f t="shared" si="32"/>
        <v>327.42400000000004</v>
      </c>
      <c r="M40" s="23">
        <f t="shared" si="32"/>
        <v>131.04599999999999</v>
      </c>
      <c r="N40" s="23">
        <f t="shared" si="32"/>
        <v>962.79200000000003</v>
      </c>
      <c r="O40" s="23">
        <f t="shared" si="32"/>
        <v>1264.7659999999998</v>
      </c>
      <c r="P40" s="23">
        <f t="shared" si="32"/>
        <v>623.75800000000004</v>
      </c>
      <c r="Q40" s="23">
        <f t="shared" si="32"/>
        <v>191.95599999999999</v>
      </c>
      <c r="R40" s="23">
        <f t="shared" si="32"/>
        <v>198.63200000000001</v>
      </c>
      <c r="S40" s="23">
        <f t="shared" si="32"/>
        <v>402.428</v>
      </c>
      <c r="T40" s="23">
        <f t="shared" si="32"/>
        <v>303.89800000000002</v>
      </c>
      <c r="U40" s="102">
        <f t="shared" si="31"/>
        <v>7045.4099999999989</v>
      </c>
    </row>
    <row r="41" spans="1:21" ht="25.5" x14ac:dyDescent="0.2">
      <c r="A41" s="20" t="s">
        <v>54</v>
      </c>
      <c r="B41" s="23">
        <f>ROUNDUP(B40,0)</f>
        <v>747</v>
      </c>
      <c r="C41" s="23">
        <f t="shared" ref="C41:T41" si="33">ROUNDUP(C40,0)</f>
        <v>475</v>
      </c>
      <c r="D41" s="23">
        <f t="shared" si="33"/>
        <v>192</v>
      </c>
      <c r="E41" s="23">
        <f t="shared" si="33"/>
        <v>357</v>
      </c>
      <c r="F41" s="23">
        <f t="shared" si="33"/>
        <v>126</v>
      </c>
      <c r="G41" s="23">
        <f t="shared" si="33"/>
        <v>241</v>
      </c>
      <c r="H41" s="23">
        <f t="shared" si="33"/>
        <v>158</v>
      </c>
      <c r="I41" s="23">
        <f t="shared" si="33"/>
        <v>163</v>
      </c>
      <c r="J41" s="23">
        <f t="shared" si="33"/>
        <v>184</v>
      </c>
      <c r="K41" s="23"/>
      <c r="L41" s="23">
        <f t="shared" si="33"/>
        <v>328</v>
      </c>
      <c r="M41" s="23">
        <f t="shared" si="33"/>
        <v>132</v>
      </c>
      <c r="N41" s="23">
        <f t="shared" si="33"/>
        <v>963</v>
      </c>
      <c r="O41" s="23">
        <f t="shared" si="33"/>
        <v>1265</v>
      </c>
      <c r="P41" s="23">
        <f t="shared" si="33"/>
        <v>624</v>
      </c>
      <c r="Q41" s="23">
        <f t="shared" si="33"/>
        <v>192</v>
      </c>
      <c r="R41" s="23">
        <f t="shared" si="33"/>
        <v>199</v>
      </c>
      <c r="S41" s="23">
        <f t="shared" si="33"/>
        <v>403</v>
      </c>
      <c r="T41" s="23">
        <f t="shared" si="33"/>
        <v>304</v>
      </c>
      <c r="U41" s="102">
        <f>SUM(B41:T41)</f>
        <v>7053</v>
      </c>
    </row>
    <row r="42" spans="1:21" s="32" customFormat="1" ht="26.25" x14ac:dyDescent="0.25">
      <c r="A42" s="20" t="s">
        <v>326</v>
      </c>
      <c r="B42" s="23">
        <f>ROUNDUP(B39,0)</f>
        <v>19</v>
      </c>
      <c r="C42" s="23">
        <f t="shared" ref="C42:T42" si="34">ROUNDUP(C39,0)</f>
        <v>12</v>
      </c>
      <c r="D42" s="23">
        <f t="shared" si="34"/>
        <v>5</v>
      </c>
      <c r="E42" s="23">
        <f t="shared" si="34"/>
        <v>9</v>
      </c>
      <c r="F42" s="23">
        <f t="shared" si="34"/>
        <v>4</v>
      </c>
      <c r="G42" s="23">
        <f t="shared" si="34"/>
        <v>7</v>
      </c>
      <c r="H42" s="23">
        <f t="shared" si="34"/>
        <v>4</v>
      </c>
      <c r="I42" s="23">
        <f t="shared" si="34"/>
        <v>5</v>
      </c>
      <c r="J42" s="23">
        <f t="shared" si="34"/>
        <v>5</v>
      </c>
      <c r="K42" s="23"/>
      <c r="L42" s="23">
        <f t="shared" si="34"/>
        <v>9</v>
      </c>
      <c r="M42" s="23">
        <f t="shared" si="34"/>
        <v>4</v>
      </c>
      <c r="N42" s="23">
        <f t="shared" si="34"/>
        <v>25</v>
      </c>
      <c r="O42" s="23">
        <f t="shared" si="34"/>
        <v>32</v>
      </c>
      <c r="P42" s="23">
        <f t="shared" si="34"/>
        <v>16</v>
      </c>
      <c r="Q42" s="23">
        <f t="shared" si="34"/>
        <v>5</v>
      </c>
      <c r="R42" s="23">
        <f t="shared" si="34"/>
        <v>5</v>
      </c>
      <c r="S42" s="23">
        <f t="shared" si="34"/>
        <v>11</v>
      </c>
      <c r="T42" s="23">
        <f t="shared" si="34"/>
        <v>8</v>
      </c>
      <c r="U42" s="102">
        <f t="shared" ref="U42:U43" si="35">SUM(B42:T42)</f>
        <v>185</v>
      </c>
    </row>
    <row r="43" spans="1:21" ht="25.5" x14ac:dyDescent="0.2">
      <c r="A43" s="20" t="s">
        <v>327</v>
      </c>
      <c r="B43">
        <f>B42/4</f>
        <v>4.75</v>
      </c>
      <c r="C43">
        <f>C42/4</f>
        <v>3</v>
      </c>
      <c r="D43">
        <f t="shared" ref="D43:T43" si="36">D42/4</f>
        <v>1.25</v>
      </c>
      <c r="E43">
        <f t="shared" si="36"/>
        <v>2.25</v>
      </c>
      <c r="F43">
        <f t="shared" si="36"/>
        <v>1</v>
      </c>
      <c r="G43">
        <f t="shared" si="36"/>
        <v>1.75</v>
      </c>
      <c r="H43">
        <f t="shared" si="36"/>
        <v>1</v>
      </c>
      <c r="I43">
        <f t="shared" si="36"/>
        <v>1.25</v>
      </c>
      <c r="J43">
        <f t="shared" si="36"/>
        <v>1.25</v>
      </c>
      <c r="K43">
        <f t="shared" si="36"/>
        <v>0</v>
      </c>
      <c r="L43">
        <f t="shared" si="36"/>
        <v>2.25</v>
      </c>
      <c r="M43">
        <f t="shared" si="36"/>
        <v>1</v>
      </c>
      <c r="N43">
        <f t="shared" si="36"/>
        <v>6.25</v>
      </c>
      <c r="O43">
        <f t="shared" si="36"/>
        <v>8</v>
      </c>
      <c r="P43">
        <f t="shared" si="36"/>
        <v>4</v>
      </c>
      <c r="Q43">
        <f t="shared" si="36"/>
        <v>1.25</v>
      </c>
      <c r="R43">
        <f t="shared" si="36"/>
        <v>1.25</v>
      </c>
      <c r="S43">
        <f t="shared" si="36"/>
        <v>2.75</v>
      </c>
      <c r="T43">
        <f t="shared" si="36"/>
        <v>2</v>
      </c>
      <c r="U43" s="102">
        <f t="shared" si="35"/>
        <v>46.25</v>
      </c>
    </row>
    <row r="46" spans="1:21" x14ac:dyDescent="0.2">
      <c r="A46" s="55"/>
      <c r="B46" s="55"/>
    </row>
    <row r="47" spans="1:21" x14ac:dyDescent="0.2">
      <c r="A47" s="55"/>
      <c r="B47" s="55"/>
    </row>
    <row r="50" spans="1:1" x14ac:dyDescent="0.2">
      <c r="A50" s="1" t="s">
        <v>55</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4"/>
  <sheetViews>
    <sheetView zoomScale="90" zoomScaleNormal="90" workbookViewId="0">
      <pane xSplit="1" topLeftCell="B1" activePane="topRight" state="frozen"/>
      <selection activeCell="A4" sqref="A4"/>
      <selection pane="topRight" activeCell="B34" sqref="B34"/>
    </sheetView>
  </sheetViews>
  <sheetFormatPr defaultColWidth="8.85546875" defaultRowHeight="15" x14ac:dyDescent="0.25"/>
  <cols>
    <col min="1" max="1" width="19.85546875" style="3" customWidth="1"/>
    <col min="2" max="2" width="15" style="3" customWidth="1"/>
    <col min="3" max="3" width="17.7109375" style="3" customWidth="1"/>
    <col min="4" max="4" width="13.7109375" style="3" customWidth="1"/>
    <col min="5" max="5" width="14.42578125" style="3" customWidth="1"/>
    <col min="6" max="6" width="14.42578125" style="3" bestFit="1" customWidth="1"/>
    <col min="7" max="7" width="12" style="3" customWidth="1"/>
    <col min="8" max="8" width="12.85546875" style="3" bestFit="1" customWidth="1"/>
    <col min="9" max="11" width="12" style="3" customWidth="1"/>
    <col min="12" max="12" width="14.42578125" style="3" customWidth="1"/>
    <col min="13" max="13" width="11.7109375" style="3" customWidth="1"/>
    <col min="14" max="21" width="12" style="3" customWidth="1"/>
    <col min="22" max="22" width="13.5703125" style="3" bestFit="1" customWidth="1"/>
    <col min="23" max="23" width="10.140625" style="3" bestFit="1" customWidth="1"/>
    <col min="24" max="24" width="11.42578125" style="3" bestFit="1" customWidth="1"/>
    <col min="25" max="25" width="11.85546875" style="3" customWidth="1"/>
    <col min="26" max="26" width="13.28515625" style="3" customWidth="1"/>
    <col min="27" max="28" width="8.85546875" style="3"/>
    <col min="29" max="29" width="12.42578125" style="3" bestFit="1" customWidth="1"/>
    <col min="30" max="16384" width="8.85546875" style="3"/>
  </cols>
  <sheetData>
    <row r="1" spans="1:26" x14ac:dyDescent="0.25">
      <c r="A1" s="3" t="s">
        <v>16</v>
      </c>
    </row>
    <row r="2" spans="1:26" x14ac:dyDescent="0.25">
      <c r="A2" s="3" t="s">
        <v>17</v>
      </c>
    </row>
    <row r="3" spans="1:26" x14ac:dyDescent="0.25">
      <c r="A3" s="3" t="s">
        <v>296</v>
      </c>
      <c r="K3" s="189" t="s">
        <v>427</v>
      </c>
      <c r="L3" s="189" t="s">
        <v>428</v>
      </c>
      <c r="M3" s="189"/>
    </row>
    <row r="4" spans="1:26" x14ac:dyDescent="0.25">
      <c r="A4" s="3" t="s">
        <v>15</v>
      </c>
      <c r="K4" s="3" t="s">
        <v>429</v>
      </c>
    </row>
    <row r="6" spans="1:26" x14ac:dyDescent="0.25">
      <c r="A6" s="14" t="s">
        <v>423</v>
      </c>
      <c r="B6" s="4" t="s">
        <v>5</v>
      </c>
      <c r="C6" s="103">
        <v>1</v>
      </c>
      <c r="D6" s="103">
        <v>2</v>
      </c>
      <c r="E6" s="103">
        <v>3</v>
      </c>
      <c r="F6" s="103">
        <v>4</v>
      </c>
      <c r="G6" s="103">
        <v>5</v>
      </c>
      <c r="H6" s="103">
        <v>6</v>
      </c>
      <c r="I6" s="103">
        <v>7</v>
      </c>
      <c r="J6" s="103">
        <v>8</v>
      </c>
      <c r="K6" s="103">
        <v>9</v>
      </c>
      <c r="L6" s="103">
        <v>10</v>
      </c>
      <c r="M6" s="103"/>
      <c r="N6" s="103">
        <v>11</v>
      </c>
      <c r="O6" s="103">
        <v>12</v>
      </c>
      <c r="P6" s="103">
        <v>13</v>
      </c>
      <c r="Q6" s="103">
        <v>14</v>
      </c>
      <c r="R6" s="103">
        <v>15</v>
      </c>
      <c r="S6" s="103">
        <v>16</v>
      </c>
      <c r="T6" s="103">
        <v>17</v>
      </c>
      <c r="U6" s="103">
        <v>18</v>
      </c>
      <c r="V6" s="103">
        <v>19</v>
      </c>
      <c r="Z6" s="4" t="s">
        <v>3</v>
      </c>
    </row>
    <row r="7" spans="1:26" x14ac:dyDescent="0.25">
      <c r="A7" s="82"/>
      <c r="B7" s="82"/>
      <c r="C7" s="82" t="s">
        <v>18</v>
      </c>
      <c r="D7" s="63" t="s">
        <v>61</v>
      </c>
      <c r="E7" s="63" t="s">
        <v>100</v>
      </c>
      <c r="F7" s="63" t="s">
        <v>104</v>
      </c>
      <c r="G7" s="63" t="s">
        <v>105</v>
      </c>
      <c r="H7" s="63" t="s">
        <v>106</v>
      </c>
      <c r="I7" s="82" t="s">
        <v>111</v>
      </c>
      <c r="J7" s="82" t="s">
        <v>107</v>
      </c>
      <c r="K7" s="82" t="s">
        <v>108</v>
      </c>
      <c r="L7" s="63" t="s">
        <v>57</v>
      </c>
      <c r="M7" s="82"/>
      <c r="N7" s="82" t="s">
        <v>65</v>
      </c>
      <c r="O7" s="82" t="s">
        <v>109</v>
      </c>
      <c r="P7" s="82" t="s">
        <v>110</v>
      </c>
      <c r="Q7" s="82" t="s">
        <v>60</v>
      </c>
      <c r="R7" s="82" t="s">
        <v>62</v>
      </c>
      <c r="S7" s="82" t="s">
        <v>112</v>
      </c>
      <c r="T7" s="82" t="s">
        <v>113</v>
      </c>
      <c r="U7" s="82" t="s">
        <v>64</v>
      </c>
      <c r="V7" s="82" t="s">
        <v>63</v>
      </c>
      <c r="W7" s="82"/>
      <c r="X7" s="82"/>
      <c r="Y7" s="82"/>
      <c r="Z7" s="82"/>
    </row>
    <row r="8" spans="1:26" x14ac:dyDescent="0.25">
      <c r="A8" s="28"/>
      <c r="B8" s="29" t="s">
        <v>35</v>
      </c>
      <c r="C8" s="29">
        <v>10</v>
      </c>
      <c r="D8" s="29">
        <v>5.6692</v>
      </c>
      <c r="E8" s="29">
        <v>1.75535</v>
      </c>
      <c r="F8" s="29">
        <v>3.6814</v>
      </c>
      <c r="G8" s="29">
        <v>1.7927500000000001</v>
      </c>
      <c r="H8" s="29">
        <v>1.9400499999999998</v>
      </c>
      <c r="I8" s="29">
        <v>1.73475</v>
      </c>
      <c r="J8" s="29">
        <v>1.6059000000000001</v>
      </c>
      <c r="K8" s="29">
        <v>2.1605999999999996</v>
      </c>
      <c r="L8" s="29">
        <v>7.7996499999999997</v>
      </c>
      <c r="M8" s="29"/>
      <c r="N8" s="29">
        <v>5.99735</v>
      </c>
      <c r="O8" s="29">
        <v>1.2235</v>
      </c>
      <c r="P8" s="29">
        <v>5.2728000000000002</v>
      </c>
      <c r="Q8" s="29">
        <v>7.9767499999999991</v>
      </c>
      <c r="R8" s="29">
        <v>4.9978999999999996</v>
      </c>
      <c r="S8" s="29">
        <v>1.5742499999999999</v>
      </c>
      <c r="T8" s="29">
        <v>1.8617999999999999</v>
      </c>
      <c r="U8" s="29">
        <v>2.7322500000000001</v>
      </c>
      <c r="V8" s="29">
        <v>4.2367499999999998</v>
      </c>
      <c r="W8" s="105">
        <f>SUM(C8:V8)</f>
        <v>74.013000000000005</v>
      </c>
      <c r="X8" s="28"/>
      <c r="Y8" s="28"/>
      <c r="Z8" s="29"/>
    </row>
    <row r="10" spans="1:26" x14ac:dyDescent="0.25">
      <c r="A10" s="6" t="s">
        <v>0</v>
      </c>
      <c r="B10" s="4"/>
      <c r="C10" s="4" t="s">
        <v>6</v>
      </c>
      <c r="D10" s="4" t="s">
        <v>6</v>
      </c>
      <c r="E10" s="4" t="s">
        <v>6</v>
      </c>
      <c r="F10" s="4" t="s">
        <v>6</v>
      </c>
      <c r="G10" s="4" t="s">
        <v>6</v>
      </c>
      <c r="H10" s="4" t="s">
        <v>6</v>
      </c>
      <c r="I10" s="4" t="s">
        <v>6</v>
      </c>
      <c r="J10" s="4" t="s">
        <v>6</v>
      </c>
      <c r="K10" s="4" t="s">
        <v>6</v>
      </c>
      <c r="L10" s="4" t="s">
        <v>6</v>
      </c>
      <c r="M10" s="4"/>
      <c r="N10" s="4" t="s">
        <v>6</v>
      </c>
      <c r="O10" s="4" t="s">
        <v>6</v>
      </c>
      <c r="P10" s="4" t="s">
        <v>6</v>
      </c>
      <c r="Q10" s="4" t="s">
        <v>6</v>
      </c>
      <c r="R10" s="4" t="s">
        <v>6</v>
      </c>
      <c r="S10" s="4" t="s">
        <v>6</v>
      </c>
      <c r="T10" s="4" t="s">
        <v>6</v>
      </c>
      <c r="U10" s="4" t="s">
        <v>6</v>
      </c>
      <c r="V10" s="4" t="s">
        <v>6</v>
      </c>
      <c r="W10" s="6" t="s">
        <v>1</v>
      </c>
      <c r="X10" s="7" t="s">
        <v>2</v>
      </c>
      <c r="Y10" s="7" t="s">
        <v>294</v>
      </c>
      <c r="Z10" s="6" t="s">
        <v>4</v>
      </c>
    </row>
    <row r="11" spans="1:26" x14ac:dyDescent="0.25">
      <c r="A11" s="4" t="s">
        <v>21</v>
      </c>
      <c r="B11" s="4"/>
      <c r="C11" s="83">
        <f>8*C8</f>
        <v>80</v>
      </c>
      <c r="D11" s="83">
        <f t="shared" ref="D11:J11" si="0">4*D8</f>
        <v>22.6768</v>
      </c>
      <c r="E11" s="83">
        <f t="shared" si="0"/>
        <v>7.0213999999999999</v>
      </c>
      <c r="F11" s="83">
        <f t="shared" si="0"/>
        <v>14.7256</v>
      </c>
      <c r="G11" s="83">
        <f t="shared" si="0"/>
        <v>7.1710000000000003</v>
      </c>
      <c r="H11" s="83">
        <f t="shared" si="0"/>
        <v>7.7601999999999993</v>
      </c>
      <c r="I11" s="83">
        <f t="shared" si="0"/>
        <v>6.9390000000000001</v>
      </c>
      <c r="J11" s="83">
        <f t="shared" si="0"/>
        <v>6.4236000000000004</v>
      </c>
      <c r="K11" s="83">
        <f>4*K8</f>
        <v>8.6423999999999985</v>
      </c>
      <c r="L11" s="83">
        <f>4*L8</f>
        <v>31.198599999999999</v>
      </c>
      <c r="M11" s="83"/>
      <c r="N11" s="4">
        <f t="shared" ref="N11:V11" si="1">4*N8</f>
        <v>23.9894</v>
      </c>
      <c r="O11" s="4">
        <f t="shared" si="1"/>
        <v>4.8940000000000001</v>
      </c>
      <c r="P11" s="4">
        <f t="shared" si="1"/>
        <v>21.091200000000001</v>
      </c>
      <c r="Q11" s="4">
        <f t="shared" si="1"/>
        <v>31.906999999999996</v>
      </c>
      <c r="R11" s="4">
        <f t="shared" si="1"/>
        <v>19.991599999999998</v>
      </c>
      <c r="S11" s="4">
        <f t="shared" si="1"/>
        <v>6.2969999999999997</v>
      </c>
      <c r="T11" s="4">
        <f t="shared" si="1"/>
        <v>7.4471999999999996</v>
      </c>
      <c r="U11" s="4">
        <f t="shared" si="1"/>
        <v>10.929</v>
      </c>
      <c r="V11" s="4">
        <f t="shared" si="1"/>
        <v>16.946999999999999</v>
      </c>
      <c r="W11" s="83">
        <f t="shared" ref="W11:W15" si="2">SUM(C11:V11)</f>
        <v>336.05199999999996</v>
      </c>
      <c r="X11" s="84">
        <v>125</v>
      </c>
      <c r="Y11" s="85">
        <v>1</v>
      </c>
      <c r="Z11" s="84">
        <f>SUM(W11*X11)*Y11</f>
        <v>42006.499999999993</v>
      </c>
    </row>
    <row r="12" spans="1:26" x14ac:dyDescent="0.25">
      <c r="A12" s="4" t="s">
        <v>20</v>
      </c>
      <c r="B12" s="4"/>
      <c r="C12" s="83">
        <f>40*C8</f>
        <v>400</v>
      </c>
      <c r="D12" s="83">
        <f t="shared" ref="D12:K12" si="3">30*D8</f>
        <v>170.07599999999999</v>
      </c>
      <c r="E12" s="83">
        <f t="shared" si="3"/>
        <v>52.660499999999999</v>
      </c>
      <c r="F12" s="83">
        <f t="shared" si="3"/>
        <v>110.44200000000001</v>
      </c>
      <c r="G12" s="83">
        <f t="shared" si="3"/>
        <v>53.782499999999999</v>
      </c>
      <c r="H12" s="83">
        <f t="shared" si="3"/>
        <v>58.201499999999996</v>
      </c>
      <c r="I12" s="83">
        <f t="shared" si="3"/>
        <v>52.042500000000004</v>
      </c>
      <c r="J12" s="83">
        <f t="shared" si="3"/>
        <v>48.177000000000007</v>
      </c>
      <c r="K12" s="83">
        <f t="shared" si="3"/>
        <v>64.817999999999984</v>
      </c>
      <c r="L12" s="83">
        <f>30*L8</f>
        <v>233.98949999999999</v>
      </c>
      <c r="M12" s="83"/>
      <c r="N12" s="4">
        <f t="shared" ref="N12:V12" si="4">30*N8</f>
        <v>179.9205</v>
      </c>
      <c r="O12" s="4">
        <f t="shared" si="4"/>
        <v>36.704999999999998</v>
      </c>
      <c r="P12" s="4">
        <f t="shared" si="4"/>
        <v>158.184</v>
      </c>
      <c r="Q12" s="4">
        <f t="shared" si="4"/>
        <v>239.30249999999998</v>
      </c>
      <c r="R12" s="4">
        <f t="shared" si="4"/>
        <v>149.93699999999998</v>
      </c>
      <c r="S12" s="4">
        <f t="shared" si="4"/>
        <v>47.227499999999999</v>
      </c>
      <c r="T12" s="4">
        <f t="shared" si="4"/>
        <v>55.853999999999999</v>
      </c>
      <c r="U12" s="4">
        <f t="shared" si="4"/>
        <v>81.967500000000001</v>
      </c>
      <c r="V12" s="4">
        <f t="shared" si="4"/>
        <v>127.10249999999999</v>
      </c>
      <c r="W12" s="83">
        <f t="shared" si="2"/>
        <v>2320.39</v>
      </c>
      <c r="X12" s="84">
        <v>95</v>
      </c>
      <c r="Y12" s="85">
        <v>1</v>
      </c>
      <c r="Z12" s="84">
        <f t="shared" ref="Z12:Z15" si="5">SUM(W12*X12)*Y12</f>
        <v>220437.05</v>
      </c>
    </row>
    <row r="13" spans="1:26" x14ac:dyDescent="0.25">
      <c r="A13" s="4" t="s">
        <v>19</v>
      </c>
      <c r="B13" s="4"/>
      <c r="C13" s="83">
        <f>40*C8</f>
        <v>400</v>
      </c>
      <c r="D13" s="83">
        <f t="shared" ref="D13:K13" si="6">40*D8</f>
        <v>226.768</v>
      </c>
      <c r="E13" s="83">
        <f t="shared" si="6"/>
        <v>70.213999999999999</v>
      </c>
      <c r="F13" s="83">
        <f t="shared" si="6"/>
        <v>147.256</v>
      </c>
      <c r="G13" s="83">
        <f t="shared" si="6"/>
        <v>71.710000000000008</v>
      </c>
      <c r="H13" s="83">
        <f t="shared" si="6"/>
        <v>77.60199999999999</v>
      </c>
      <c r="I13" s="83">
        <f t="shared" si="6"/>
        <v>69.39</v>
      </c>
      <c r="J13" s="83">
        <f t="shared" si="6"/>
        <v>64.236000000000004</v>
      </c>
      <c r="K13" s="83">
        <f t="shared" si="6"/>
        <v>86.423999999999978</v>
      </c>
      <c r="L13" s="83">
        <f>40*L8</f>
        <v>311.98599999999999</v>
      </c>
      <c r="M13" s="83"/>
      <c r="N13" s="4">
        <f t="shared" ref="N13:V13" si="7">40*N8</f>
        <v>239.89400000000001</v>
      </c>
      <c r="O13" s="4">
        <f t="shared" si="7"/>
        <v>48.94</v>
      </c>
      <c r="P13" s="4">
        <f t="shared" si="7"/>
        <v>210.91200000000001</v>
      </c>
      <c r="Q13" s="4">
        <f t="shared" si="7"/>
        <v>319.06999999999994</v>
      </c>
      <c r="R13" s="4">
        <f t="shared" si="7"/>
        <v>199.916</v>
      </c>
      <c r="S13" s="4">
        <f t="shared" si="7"/>
        <v>62.97</v>
      </c>
      <c r="T13" s="4">
        <f t="shared" si="7"/>
        <v>74.471999999999994</v>
      </c>
      <c r="U13" s="4">
        <f t="shared" si="7"/>
        <v>109.29</v>
      </c>
      <c r="V13" s="4">
        <f t="shared" si="7"/>
        <v>169.47</v>
      </c>
      <c r="W13" s="83">
        <f t="shared" si="2"/>
        <v>2960.52</v>
      </c>
      <c r="X13" s="84">
        <v>70</v>
      </c>
      <c r="Y13" s="85">
        <v>1</v>
      </c>
      <c r="Z13" s="84">
        <f t="shared" si="5"/>
        <v>207236.4</v>
      </c>
    </row>
    <row r="14" spans="1:26" x14ac:dyDescent="0.25">
      <c r="A14" s="4" t="s">
        <v>31</v>
      </c>
      <c r="B14" s="4"/>
      <c r="C14" s="83">
        <f>4*C8</f>
        <v>40</v>
      </c>
      <c r="D14" s="83">
        <f>4*D8</f>
        <v>22.6768</v>
      </c>
      <c r="E14" s="83">
        <f>4*E8</f>
        <v>7.0213999999999999</v>
      </c>
      <c r="F14" s="83">
        <f>4*F8</f>
        <v>14.7256</v>
      </c>
      <c r="G14" s="83">
        <f t="shared" ref="G14:K14" si="8">4*G8</f>
        <v>7.1710000000000003</v>
      </c>
      <c r="H14" s="83">
        <f t="shared" si="8"/>
        <v>7.7601999999999993</v>
      </c>
      <c r="I14" s="83">
        <f t="shared" si="8"/>
        <v>6.9390000000000001</v>
      </c>
      <c r="J14" s="83">
        <f t="shared" si="8"/>
        <v>6.4236000000000004</v>
      </c>
      <c r="K14" s="83">
        <f t="shared" si="8"/>
        <v>8.6423999999999985</v>
      </c>
      <c r="L14" s="83">
        <f>4*L8</f>
        <v>31.198599999999999</v>
      </c>
      <c r="M14" s="83"/>
      <c r="N14" s="4">
        <f t="shared" ref="N14:V14" si="9">4*N8</f>
        <v>23.9894</v>
      </c>
      <c r="O14" s="4">
        <f t="shared" si="9"/>
        <v>4.8940000000000001</v>
      </c>
      <c r="P14" s="4">
        <f t="shared" si="9"/>
        <v>21.091200000000001</v>
      </c>
      <c r="Q14" s="4">
        <f t="shared" si="9"/>
        <v>31.906999999999996</v>
      </c>
      <c r="R14" s="4">
        <f t="shared" si="9"/>
        <v>19.991599999999998</v>
      </c>
      <c r="S14" s="4">
        <f t="shared" si="9"/>
        <v>6.2969999999999997</v>
      </c>
      <c r="T14" s="4">
        <f t="shared" si="9"/>
        <v>7.4471999999999996</v>
      </c>
      <c r="U14" s="4">
        <f t="shared" si="9"/>
        <v>10.929</v>
      </c>
      <c r="V14" s="4">
        <f t="shared" si="9"/>
        <v>16.946999999999999</v>
      </c>
      <c r="W14" s="83">
        <f t="shared" si="2"/>
        <v>296.05200000000002</v>
      </c>
      <c r="X14" s="84">
        <v>45</v>
      </c>
      <c r="Y14" s="85">
        <v>1</v>
      </c>
      <c r="Z14" s="84">
        <f>SUM(W14*X14)*Y14</f>
        <v>13322.34</v>
      </c>
    </row>
    <row r="15" spans="1:26" x14ac:dyDescent="0.25">
      <c r="A15" s="4" t="s">
        <v>32</v>
      </c>
      <c r="B15" s="4"/>
      <c r="C15" s="83">
        <f>2*C8</f>
        <v>20</v>
      </c>
      <c r="D15" s="83">
        <f t="shared" ref="D15:H15" si="10">2*D8</f>
        <v>11.3384</v>
      </c>
      <c r="E15" s="83">
        <f t="shared" si="10"/>
        <v>3.5106999999999999</v>
      </c>
      <c r="F15" s="83">
        <f t="shared" si="10"/>
        <v>7.3628</v>
      </c>
      <c r="G15" s="83">
        <f t="shared" si="10"/>
        <v>3.5855000000000001</v>
      </c>
      <c r="H15" s="83">
        <f t="shared" si="10"/>
        <v>3.8800999999999997</v>
      </c>
      <c r="I15" s="83">
        <f>2*I8</f>
        <v>3.4695</v>
      </c>
      <c r="J15" s="83">
        <f t="shared" ref="J15:K15" si="11">2*J8</f>
        <v>3.2118000000000002</v>
      </c>
      <c r="K15" s="83">
        <f t="shared" si="11"/>
        <v>4.3211999999999993</v>
      </c>
      <c r="L15" s="83">
        <f>2*L8</f>
        <v>15.599299999999999</v>
      </c>
      <c r="M15" s="83"/>
      <c r="N15" s="4">
        <f t="shared" ref="N15:V15" si="12">2*N8</f>
        <v>11.9947</v>
      </c>
      <c r="O15" s="4">
        <f t="shared" si="12"/>
        <v>2.4470000000000001</v>
      </c>
      <c r="P15" s="4">
        <f t="shared" si="12"/>
        <v>10.5456</v>
      </c>
      <c r="Q15" s="4">
        <f t="shared" si="12"/>
        <v>15.953499999999998</v>
      </c>
      <c r="R15" s="4">
        <f t="shared" si="12"/>
        <v>9.9957999999999991</v>
      </c>
      <c r="S15" s="4">
        <f t="shared" si="12"/>
        <v>3.1484999999999999</v>
      </c>
      <c r="T15" s="4">
        <f t="shared" si="12"/>
        <v>3.7235999999999998</v>
      </c>
      <c r="U15" s="4">
        <f t="shared" si="12"/>
        <v>5.4645000000000001</v>
      </c>
      <c r="V15" s="4">
        <f t="shared" si="12"/>
        <v>8.4734999999999996</v>
      </c>
      <c r="W15" s="83">
        <f t="shared" si="2"/>
        <v>148.02600000000001</v>
      </c>
      <c r="X15" s="84">
        <v>25</v>
      </c>
      <c r="Y15" s="85">
        <v>1</v>
      </c>
      <c r="Z15" s="84">
        <f t="shared" si="5"/>
        <v>3700.65</v>
      </c>
    </row>
    <row r="16" spans="1:26" x14ac:dyDescent="0.25">
      <c r="A16" s="4" t="s">
        <v>33</v>
      </c>
      <c r="B16" s="4"/>
      <c r="C16" s="83">
        <v>0</v>
      </c>
      <c r="D16" s="83">
        <f t="shared" ref="D16:K16" si="13">(40*D8)</f>
        <v>226.768</v>
      </c>
      <c r="E16" s="83">
        <f t="shared" si="13"/>
        <v>70.213999999999999</v>
      </c>
      <c r="F16" s="83">
        <f t="shared" si="13"/>
        <v>147.256</v>
      </c>
      <c r="G16" s="83">
        <f t="shared" si="13"/>
        <v>71.710000000000008</v>
      </c>
      <c r="H16" s="83">
        <f t="shared" si="13"/>
        <v>77.60199999999999</v>
      </c>
      <c r="I16" s="83">
        <f t="shared" si="13"/>
        <v>69.39</v>
      </c>
      <c r="J16" s="83">
        <f t="shared" si="13"/>
        <v>64.236000000000004</v>
      </c>
      <c r="K16" s="83">
        <f t="shared" si="13"/>
        <v>86.423999999999978</v>
      </c>
      <c r="L16" s="83">
        <f>(40*L8)</f>
        <v>311.98599999999999</v>
      </c>
      <c r="M16" s="83"/>
      <c r="N16" s="83">
        <f t="shared" ref="N16:V16" si="14">(40*N8)</f>
        <v>239.89400000000001</v>
      </c>
      <c r="O16" s="83">
        <f t="shared" si="14"/>
        <v>48.94</v>
      </c>
      <c r="P16" s="83">
        <f t="shared" si="14"/>
        <v>210.91200000000001</v>
      </c>
      <c r="Q16" s="83">
        <f t="shared" si="14"/>
        <v>319.06999999999994</v>
      </c>
      <c r="R16" s="83">
        <f t="shared" si="14"/>
        <v>199.916</v>
      </c>
      <c r="S16" s="83">
        <f t="shared" si="14"/>
        <v>62.97</v>
      </c>
      <c r="T16" s="83">
        <f t="shared" si="14"/>
        <v>74.471999999999994</v>
      </c>
      <c r="U16" s="83">
        <f t="shared" si="14"/>
        <v>109.29</v>
      </c>
      <c r="V16" s="83">
        <f t="shared" si="14"/>
        <v>169.47</v>
      </c>
      <c r="W16" s="83">
        <f>SUM(D17:V17)</f>
        <v>25605.200000000001</v>
      </c>
      <c r="X16" s="84">
        <v>30</v>
      </c>
      <c r="Y16" s="85">
        <v>10</v>
      </c>
      <c r="Z16" s="84">
        <f>SUM(W16*X16)</f>
        <v>768156</v>
      </c>
    </row>
    <row r="17" spans="1:29" x14ac:dyDescent="0.25">
      <c r="D17" s="3">
        <f t="shared" ref="D17:J17" si="15">D16*10</f>
        <v>2267.6799999999998</v>
      </c>
      <c r="E17" s="3">
        <f t="shared" si="15"/>
        <v>702.14</v>
      </c>
      <c r="F17" s="3">
        <f t="shared" si="15"/>
        <v>1472.56</v>
      </c>
      <c r="G17" s="3">
        <f t="shared" si="15"/>
        <v>717.10000000000014</v>
      </c>
      <c r="H17" s="3">
        <f t="shared" si="15"/>
        <v>776.01999999999987</v>
      </c>
      <c r="I17" s="3">
        <f t="shared" si="15"/>
        <v>693.9</v>
      </c>
      <c r="J17" s="3">
        <f t="shared" si="15"/>
        <v>642.36</v>
      </c>
      <c r="K17" s="3">
        <f>K16*10</f>
        <v>864.23999999999978</v>
      </c>
      <c r="L17" s="3">
        <f>L16*10</f>
        <v>3119.8599999999997</v>
      </c>
      <c r="N17" s="3">
        <f>N16*10</f>
        <v>2398.94</v>
      </c>
      <c r="O17" s="3">
        <f t="shared" ref="O17:V17" si="16">O16*10</f>
        <v>489.4</v>
      </c>
      <c r="P17" s="3">
        <f t="shared" si="16"/>
        <v>2109.12</v>
      </c>
      <c r="Q17" s="3">
        <f>Q16*10</f>
        <v>3190.6999999999994</v>
      </c>
      <c r="R17" s="3">
        <f t="shared" si="16"/>
        <v>1999.1599999999999</v>
      </c>
      <c r="S17" s="3">
        <f t="shared" si="16"/>
        <v>629.70000000000005</v>
      </c>
      <c r="T17" s="3">
        <f t="shared" si="16"/>
        <v>744.71999999999991</v>
      </c>
      <c r="U17" s="3">
        <f t="shared" si="16"/>
        <v>1092.9000000000001</v>
      </c>
      <c r="V17" s="3">
        <f t="shared" si="16"/>
        <v>1694.7</v>
      </c>
      <c r="W17" s="87">
        <v>31600</v>
      </c>
      <c r="X17" s="8"/>
      <c r="Y17" s="86"/>
      <c r="Z17" s="15"/>
      <c r="AC17" s="8"/>
    </row>
    <row r="19" spans="1:29" x14ac:dyDescent="0.25">
      <c r="A19" s="3" t="s">
        <v>9</v>
      </c>
      <c r="C19" s="9">
        <f>SUM(C11:C18)</f>
        <v>940</v>
      </c>
      <c r="D19" s="9">
        <f>SUM(D11:D18)</f>
        <v>2947.9839999999999</v>
      </c>
      <c r="E19" s="9">
        <f>SUM(E11:E18)</f>
        <v>912.78199999999993</v>
      </c>
      <c r="F19" s="9">
        <f t="shared" ref="F19:J19" si="17">SUM(F11:F18)</f>
        <v>1914.328</v>
      </c>
      <c r="G19" s="9">
        <f t="shared" si="17"/>
        <v>932.23000000000013</v>
      </c>
      <c r="H19" s="9">
        <f t="shared" si="17"/>
        <v>1008.8259999999998</v>
      </c>
      <c r="I19" s="9">
        <f t="shared" si="17"/>
        <v>902.06999999999994</v>
      </c>
      <c r="J19" s="9">
        <f t="shared" si="17"/>
        <v>835.06799999999998</v>
      </c>
      <c r="K19" s="9">
        <f>SUM(K11:K18)</f>
        <v>1123.5119999999997</v>
      </c>
      <c r="L19" s="9">
        <f>SUM(L11:L18)</f>
        <v>4055.8179999999993</v>
      </c>
      <c r="M19" s="9"/>
      <c r="N19" s="9">
        <f t="shared" ref="N19:U19" si="18">SUM(N11:N18)</f>
        <v>3118.6220000000003</v>
      </c>
      <c r="O19" s="9">
        <f t="shared" si="18"/>
        <v>636.22</v>
      </c>
      <c r="P19" s="9">
        <f t="shared" si="18"/>
        <v>2741.8559999999998</v>
      </c>
      <c r="Q19" s="9">
        <f t="shared" si="18"/>
        <v>4147.9099999999989</v>
      </c>
      <c r="R19" s="9">
        <f t="shared" si="18"/>
        <v>2598.9079999999999</v>
      </c>
      <c r="S19" s="9">
        <f t="shared" si="18"/>
        <v>818.61</v>
      </c>
      <c r="T19" s="9">
        <f>SUM(T11:T18)</f>
        <v>968.13599999999997</v>
      </c>
      <c r="U19" s="9">
        <f t="shared" si="18"/>
        <v>1420.77</v>
      </c>
      <c r="V19" s="9">
        <f>SUM(V11:V18)</f>
        <v>2203.11</v>
      </c>
      <c r="Z19" s="9"/>
    </row>
    <row r="20" spans="1:29" x14ac:dyDescent="0.25">
      <c r="Z20" s="8"/>
    </row>
    <row r="21" spans="1:29" x14ac:dyDescent="0.25">
      <c r="A21" s="3" t="s">
        <v>10</v>
      </c>
      <c r="B21" s="10"/>
      <c r="C21" s="33">
        <v>40000</v>
      </c>
      <c r="D21" s="33">
        <v>15000</v>
      </c>
      <c r="E21" s="33">
        <v>15000</v>
      </c>
      <c r="F21" s="33">
        <v>15000</v>
      </c>
      <c r="G21" s="33">
        <v>15000</v>
      </c>
      <c r="H21" s="33">
        <v>15000</v>
      </c>
      <c r="I21" s="33">
        <v>15000</v>
      </c>
      <c r="J21" s="33">
        <v>15000</v>
      </c>
      <c r="K21" s="33">
        <v>15000</v>
      </c>
      <c r="L21" s="33">
        <v>15000</v>
      </c>
      <c r="M21" s="33"/>
      <c r="N21" s="33">
        <v>15000</v>
      </c>
      <c r="O21" s="33">
        <v>15000</v>
      </c>
      <c r="P21" s="33">
        <v>15000</v>
      </c>
      <c r="Q21" s="33">
        <v>15000</v>
      </c>
      <c r="R21" s="33">
        <v>15000</v>
      </c>
      <c r="S21" s="33">
        <v>15000</v>
      </c>
      <c r="T21" s="33">
        <v>15000</v>
      </c>
      <c r="U21" s="33">
        <v>15000</v>
      </c>
      <c r="V21" s="33">
        <v>15000</v>
      </c>
      <c r="Z21" s="8">
        <f>SUM(C21:V21)</f>
        <v>310000</v>
      </c>
      <c r="AC21" s="8"/>
    </row>
    <row r="22" spans="1:29" x14ac:dyDescent="0.25">
      <c r="B22" s="10"/>
      <c r="C22" s="33"/>
      <c r="D22" s="33"/>
      <c r="E22" s="33"/>
      <c r="F22" s="33"/>
      <c r="G22" s="33"/>
      <c r="H22" s="33"/>
      <c r="I22" s="33"/>
      <c r="J22" s="33"/>
      <c r="K22" s="33"/>
      <c r="L22" s="33"/>
      <c r="M22" s="12"/>
      <c r="N22" s="12"/>
      <c r="O22" s="12"/>
      <c r="P22" s="12"/>
      <c r="Q22" s="12"/>
      <c r="R22" s="12"/>
      <c r="S22" s="12"/>
      <c r="T22" s="12"/>
      <c r="U22" s="12"/>
      <c r="V22" s="12"/>
      <c r="Z22" s="8"/>
    </row>
    <row r="23" spans="1:29" x14ac:dyDescent="0.25">
      <c r="A23" s="3" t="s">
        <v>424</v>
      </c>
      <c r="B23" s="10"/>
      <c r="C23" s="33"/>
      <c r="D23" s="33">
        <v>13100</v>
      </c>
      <c r="E23" s="33">
        <v>6500</v>
      </c>
      <c r="F23" s="33">
        <v>10800</v>
      </c>
      <c r="G23" s="33">
        <v>6900</v>
      </c>
      <c r="H23" s="33">
        <v>6300</v>
      </c>
      <c r="I23" s="33">
        <v>6000</v>
      </c>
      <c r="J23" s="33">
        <v>5600</v>
      </c>
      <c r="K23" s="33">
        <v>5100</v>
      </c>
      <c r="L23" s="33">
        <v>17300</v>
      </c>
      <c r="M23" s="33"/>
      <c r="N23" s="12">
        <v>13600</v>
      </c>
      <c r="O23" s="12">
        <v>5000</v>
      </c>
      <c r="P23" s="12">
        <v>20300</v>
      </c>
      <c r="Q23" s="12">
        <v>18700</v>
      </c>
      <c r="R23" s="12">
        <v>13100</v>
      </c>
      <c r="S23" s="12">
        <v>5600</v>
      </c>
      <c r="T23" s="12">
        <v>6000</v>
      </c>
      <c r="U23" s="12">
        <v>9000</v>
      </c>
      <c r="V23" s="12">
        <v>14200</v>
      </c>
      <c r="Z23" s="8">
        <f>SUM(C23:V23)</f>
        <v>183100</v>
      </c>
    </row>
    <row r="24" spans="1:29" x14ac:dyDescent="0.25">
      <c r="Z24" s="8"/>
    </row>
    <row r="25" spans="1:29" x14ac:dyDescent="0.25">
      <c r="A25" s="3" t="s">
        <v>8</v>
      </c>
      <c r="C25" s="194">
        <f>SUM(C11*$X11+C12*$X12+C13*$X13+C14*$X14+C15*$X15+C16*$X16+C21+C23)</f>
        <v>118300</v>
      </c>
      <c r="D25" s="194">
        <f t="shared" ref="D25:L25" si="19">SUM(D11*$X11+D12*$X12+D13*$X13+D14*$X14+D15*$X15+((D16*$X16)*10)+D21+D23)</f>
        <v>132299.89600000001</v>
      </c>
      <c r="E25" s="194">
        <f t="shared" si="19"/>
        <v>53763.332999999999</v>
      </c>
      <c r="F25" s="194">
        <f t="shared" si="19"/>
        <v>93464.132000000012</v>
      </c>
      <c r="G25" s="194">
        <f t="shared" si="19"/>
        <v>54850.745000000003</v>
      </c>
      <c r="H25" s="194">
        <f t="shared" si="19"/>
        <v>56958.118999999992</v>
      </c>
      <c r="I25" s="194">
        <f t="shared" si="19"/>
        <v>52884.705000000002</v>
      </c>
      <c r="J25" s="194">
        <f t="shared" si="19"/>
        <v>50116.442000000003</v>
      </c>
      <c r="K25" s="194">
        <f t="shared" si="19"/>
        <v>59811.827999999994</v>
      </c>
      <c r="L25" s="194">
        <f t="shared" si="19"/>
        <v>175657.56700000001</v>
      </c>
      <c r="M25" s="194"/>
      <c r="N25" s="194">
        <f>SUM(N11*$X11+N12*$X12+N13*$X13+N14*$X14+N15*$X15+((N16*$X16)*10)+N21+N23)</f>
        <v>138831.29300000001</v>
      </c>
      <c r="O25" s="194">
        <f t="shared" ref="O25:U25" si="20">SUM(O11*$X11+O12*$X12+O13*$X13+O14*$X14+O15*$X15+((O16*$X16)*10)+O21+O23)</f>
        <v>42487.929999999993</v>
      </c>
      <c r="P25" s="194">
        <f t="shared" si="20"/>
        <v>132214.06400000001</v>
      </c>
      <c r="Q25" s="194">
        <f t="shared" si="20"/>
        <v>180312.66499999998</v>
      </c>
      <c r="R25" s="194">
        <f t="shared" si="20"/>
        <v>119961.40199999999</v>
      </c>
      <c r="S25" s="194">
        <f t="shared" si="20"/>
        <v>49534.714999999997</v>
      </c>
      <c r="T25" s="194">
        <f t="shared" si="20"/>
        <v>55219.883999999998</v>
      </c>
      <c r="U25" s="194">
        <f t="shared" si="20"/>
        <v>74218.755000000005</v>
      </c>
      <c r="V25" s="194">
        <f>SUM(V11*$X11+V12*$X12+V13*$X13+V14*$X14+V15*$X15+((V16*$X16)*10)+V21+V23)</f>
        <v>107071.465</v>
      </c>
      <c r="W25" s="8"/>
      <c r="Z25" s="88">
        <f>V25+U25+T25+S25+R25+Q25+P25+O25+N25+K25+J25+I25+H25+G25+F25+E25+D25+L25+C25</f>
        <v>1747958.9400000002</v>
      </c>
    </row>
    <row r="26" spans="1:29" x14ac:dyDescent="0.25">
      <c r="C26" s="8"/>
      <c r="D26" s="8"/>
      <c r="E26" s="8"/>
      <c r="F26" s="8"/>
      <c r="G26" s="8"/>
      <c r="H26" s="8"/>
      <c r="I26" s="8"/>
      <c r="J26" s="8"/>
      <c r="K26" s="8"/>
      <c r="L26" s="8"/>
      <c r="M26" s="8"/>
      <c r="N26" s="8"/>
      <c r="O26" s="8"/>
      <c r="P26" s="8"/>
      <c r="Q26" s="8"/>
      <c r="R26" s="8"/>
      <c r="S26" s="8"/>
      <c r="T26" s="8"/>
      <c r="U26" s="8"/>
      <c r="V26" s="8"/>
      <c r="W26" s="8"/>
      <c r="X26" s="8"/>
      <c r="Z26" s="8"/>
    </row>
    <row r="27" spans="1:29" x14ac:dyDescent="0.25">
      <c r="C27" s="8"/>
      <c r="D27" s="8"/>
      <c r="E27" s="8"/>
      <c r="F27" s="8"/>
      <c r="G27" s="8"/>
      <c r="H27" s="8"/>
      <c r="I27" s="8"/>
      <c r="J27" s="8"/>
      <c r="K27" s="8"/>
      <c r="L27" s="193">
        <f>K25+J25+I25+H25+G25+F25+E25+D25+L25+C25</f>
        <v>848106.76699999999</v>
      </c>
      <c r="M27" s="8"/>
      <c r="N27" s="8"/>
      <c r="O27" s="8"/>
      <c r="P27" s="8"/>
      <c r="Q27" s="8"/>
      <c r="R27" s="8"/>
      <c r="S27" s="8"/>
      <c r="T27" s="8"/>
      <c r="U27" s="8"/>
      <c r="V27" s="193">
        <f>V25+U25+T25+S25+R25+Q25+P25+O25+N25</f>
        <v>899852.17299999995</v>
      </c>
      <c r="W27" s="8"/>
      <c r="Z27" s="8"/>
    </row>
    <row r="28" spans="1:29" x14ac:dyDescent="0.25">
      <c r="C28" s="8"/>
      <c r="D28" s="8"/>
      <c r="E28" s="8"/>
      <c r="F28" s="8"/>
      <c r="G28" s="8"/>
      <c r="H28" s="8"/>
      <c r="I28" s="8"/>
      <c r="J28" s="8"/>
      <c r="K28" s="8"/>
      <c r="L28" s="8"/>
      <c r="M28" s="8"/>
      <c r="N28" s="8"/>
      <c r="O28" s="8"/>
      <c r="P28" s="8"/>
      <c r="Q28" s="8"/>
      <c r="R28" s="8"/>
      <c r="S28" s="8"/>
      <c r="T28" s="8"/>
      <c r="U28" s="8"/>
      <c r="V28" s="8"/>
      <c r="W28" s="8"/>
    </row>
    <row r="29" spans="1:29" x14ac:dyDescent="0.25">
      <c r="A29" s="106"/>
      <c r="B29" s="107" t="s">
        <v>422</v>
      </c>
      <c r="C29" s="8"/>
      <c r="D29" s="8"/>
      <c r="E29" s="8"/>
      <c r="F29" s="8"/>
      <c r="G29" s="8"/>
      <c r="H29" s="8"/>
      <c r="I29" s="8"/>
      <c r="J29" s="8"/>
      <c r="K29" s="8"/>
      <c r="L29" s="8"/>
      <c r="M29" s="8"/>
      <c r="N29" s="8"/>
      <c r="O29" s="8"/>
      <c r="P29" s="8"/>
      <c r="Q29" s="8"/>
      <c r="R29" s="8"/>
      <c r="S29" s="8"/>
      <c r="T29" s="8"/>
      <c r="U29" s="8"/>
      <c r="V29" s="8"/>
      <c r="Y29" s="8"/>
    </row>
    <row r="30" spans="1:29" x14ac:dyDescent="0.25">
      <c r="A30" s="108" t="s">
        <v>53</v>
      </c>
      <c r="B30" s="195">
        <f>W17</f>
        <v>31600</v>
      </c>
      <c r="C30" s="8"/>
      <c r="D30" s="8"/>
      <c r="E30" s="8"/>
      <c r="F30" s="8"/>
      <c r="G30" s="8"/>
      <c r="H30" s="8"/>
      <c r="I30" s="8"/>
      <c r="J30" s="8"/>
      <c r="K30" s="8"/>
      <c r="L30" s="8"/>
      <c r="M30" s="8"/>
      <c r="N30" s="8"/>
      <c r="O30" s="8"/>
      <c r="P30" s="8"/>
      <c r="Q30" s="8"/>
      <c r="R30" s="8"/>
      <c r="S30" s="8"/>
      <c r="T30" s="8"/>
      <c r="U30" s="8"/>
      <c r="V30" s="8"/>
      <c r="Y30" s="8"/>
    </row>
    <row r="31" spans="1:29" x14ac:dyDescent="0.25">
      <c r="A31" s="108" t="s">
        <v>329</v>
      </c>
      <c r="B31" s="187">
        <f>W8</f>
        <v>74.013000000000005</v>
      </c>
      <c r="C31" s="8"/>
      <c r="D31" s="8"/>
      <c r="E31" s="8"/>
      <c r="F31" s="8"/>
      <c r="G31" s="8"/>
      <c r="H31" s="8"/>
      <c r="I31" s="8"/>
      <c r="J31" s="8"/>
      <c r="K31" s="8"/>
      <c r="L31" s="8"/>
      <c r="M31" s="8"/>
      <c r="N31" s="8"/>
      <c r="O31" s="8"/>
      <c r="P31" s="8"/>
      <c r="Q31" s="8"/>
      <c r="R31" s="8"/>
      <c r="S31" s="8"/>
      <c r="T31" s="8"/>
      <c r="U31" s="8"/>
      <c r="V31" s="8"/>
      <c r="Y31" s="8"/>
    </row>
    <row r="32" spans="1:29" x14ac:dyDescent="0.25">
      <c r="A32" s="108" t="s">
        <v>328</v>
      </c>
      <c r="B32" s="109">
        <f>B31/4</f>
        <v>18.503250000000001</v>
      </c>
      <c r="C32" s="8"/>
      <c r="D32" s="8"/>
      <c r="E32" s="8"/>
      <c r="F32" s="8"/>
      <c r="G32" s="8"/>
      <c r="H32" s="8"/>
      <c r="I32" s="8"/>
      <c r="J32" s="8"/>
      <c r="K32" s="8"/>
      <c r="L32" s="8"/>
      <c r="M32" s="8"/>
      <c r="N32" s="8"/>
      <c r="O32" s="8"/>
      <c r="P32" s="8"/>
      <c r="Q32" s="8"/>
      <c r="R32" s="8"/>
      <c r="S32" s="8"/>
      <c r="T32" s="8"/>
      <c r="U32" s="8"/>
      <c r="V32" s="8"/>
      <c r="Y32" s="8"/>
    </row>
    <row r="33" spans="1:26" x14ac:dyDescent="0.25">
      <c r="A33" s="110" t="s">
        <v>330</v>
      </c>
      <c r="B33" s="111">
        <f>Z25</f>
        <v>1747958.9400000002</v>
      </c>
      <c r="C33" s="8"/>
      <c r="D33" s="8"/>
      <c r="E33" s="8"/>
      <c r="F33" s="8"/>
      <c r="G33" s="8"/>
      <c r="H33" s="8"/>
      <c r="I33" s="8"/>
      <c r="J33" s="8"/>
      <c r="K33" s="8"/>
      <c r="L33" s="8"/>
      <c r="M33" s="8"/>
      <c r="N33" s="8"/>
      <c r="O33" s="8"/>
      <c r="P33" s="8"/>
      <c r="Q33" s="8"/>
      <c r="R33" s="8"/>
      <c r="S33" s="8"/>
      <c r="T33" s="8"/>
      <c r="U33" s="8"/>
      <c r="V33" s="8"/>
      <c r="Y33" s="8"/>
    </row>
    <row r="34" spans="1:26" x14ac:dyDescent="0.25">
      <c r="C34" s="8"/>
      <c r="D34" s="8"/>
      <c r="E34" s="8"/>
      <c r="F34" s="8"/>
      <c r="G34" s="8"/>
      <c r="H34" s="8"/>
      <c r="I34" s="8"/>
      <c r="J34" s="8"/>
      <c r="K34" s="8"/>
      <c r="L34" s="8"/>
      <c r="M34" s="8"/>
      <c r="N34" s="8"/>
      <c r="O34" s="8"/>
      <c r="P34" s="8"/>
      <c r="Q34" s="8"/>
      <c r="R34" s="8"/>
      <c r="S34" s="8"/>
      <c r="T34" s="8"/>
      <c r="U34" s="8"/>
      <c r="V34" s="8"/>
      <c r="W34" s="8"/>
      <c r="Z34" s="8"/>
    </row>
    <row r="35" spans="1:26" ht="56.25" customHeight="1" x14ac:dyDescent="0.25">
      <c r="A35" s="196" t="s">
        <v>295</v>
      </c>
      <c r="B35" s="196"/>
      <c r="C35" s="196"/>
      <c r="D35" s="196"/>
      <c r="E35" s="196"/>
      <c r="F35" s="196"/>
      <c r="G35" s="196"/>
      <c r="H35" s="196"/>
      <c r="I35" s="196"/>
      <c r="J35" s="196"/>
      <c r="K35" s="196"/>
      <c r="L35" s="196"/>
      <c r="M35" s="11"/>
      <c r="N35" s="11"/>
      <c r="O35" s="11"/>
      <c r="P35" s="11"/>
      <c r="Q35" s="11"/>
      <c r="R35" s="11"/>
      <c r="S35" s="11"/>
      <c r="T35" s="11"/>
      <c r="U35" s="11"/>
      <c r="V35" s="11"/>
      <c r="W35" s="11"/>
      <c r="X35" s="10"/>
      <c r="Y35" s="10"/>
      <c r="Z35" s="11"/>
    </row>
    <row r="36" spans="1:26" x14ac:dyDescent="0.25">
      <c r="A36" s="10"/>
      <c r="B36" s="10"/>
      <c r="C36" s="11"/>
      <c r="D36" s="11"/>
      <c r="E36" s="11"/>
      <c r="F36" s="11"/>
      <c r="G36" s="11"/>
      <c r="H36" s="11"/>
      <c r="I36" s="11"/>
      <c r="J36" s="11"/>
      <c r="K36" s="11"/>
      <c r="L36" s="11"/>
      <c r="M36" s="11"/>
      <c r="N36" s="11"/>
      <c r="O36" s="11"/>
      <c r="P36" s="11"/>
      <c r="Q36" s="11"/>
      <c r="R36" s="11"/>
      <c r="S36" s="11"/>
      <c r="T36" s="11"/>
      <c r="U36" s="11"/>
      <c r="V36" s="11"/>
      <c r="W36" s="11"/>
      <c r="X36" s="10"/>
      <c r="Y36" s="10"/>
      <c r="Z36" s="11"/>
    </row>
    <row r="38" spans="1:26" x14ac:dyDescent="0.25">
      <c r="A38" s="3" t="s">
        <v>12</v>
      </c>
      <c r="B38" s="3" t="s">
        <v>14</v>
      </c>
    </row>
    <row r="39" spans="1:26" x14ac:dyDescent="0.25">
      <c r="D39" s="3" t="s">
        <v>7</v>
      </c>
    </row>
    <row r="40" spans="1:26" x14ac:dyDescent="0.25">
      <c r="W40" s="3" t="s">
        <v>7</v>
      </c>
    </row>
    <row r="41" spans="1:26" x14ac:dyDescent="0.25">
      <c r="A41" s="3" t="s">
        <v>13</v>
      </c>
      <c r="B41" s="3" t="s">
        <v>14</v>
      </c>
    </row>
    <row r="44" spans="1:26" x14ac:dyDescent="0.25">
      <c r="A44" s="3" t="s">
        <v>34</v>
      </c>
      <c r="B44" s="3" t="s">
        <v>14</v>
      </c>
    </row>
  </sheetData>
  <mergeCells count="1">
    <mergeCell ref="A35:L35"/>
  </mergeCells>
  <phoneticPr fontId="1" type="noConversion"/>
  <pageMargins left="0.75" right="0.75" top="0.52" bottom="0.51" header="0.5" footer="0.5"/>
  <pageSetup scale="36"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2A69-184E-4073-9FC8-3D0D76E9F963}">
  <dimension ref="A1:P51"/>
  <sheetViews>
    <sheetView workbookViewId="0">
      <selection activeCell="A17" sqref="A17:XFD17"/>
    </sheetView>
  </sheetViews>
  <sheetFormatPr defaultColWidth="8.85546875" defaultRowHeight="14.25" x14ac:dyDescent="0.2"/>
  <cols>
    <col min="1" max="1" width="21.140625" style="116" customWidth="1"/>
    <col min="2" max="2" width="17.85546875" style="116" customWidth="1"/>
    <col min="3" max="3" width="11.7109375" style="116" customWidth="1"/>
    <col min="4" max="4" width="7" style="116" customWidth="1"/>
    <col min="5" max="5" width="16" style="116" customWidth="1"/>
    <col min="6" max="6" width="4.140625" style="116" customWidth="1"/>
    <col min="7" max="7" width="13.28515625" style="116" customWidth="1"/>
    <col min="8" max="8" width="7" style="116" customWidth="1"/>
    <col min="9" max="9" width="14.7109375" style="116" customWidth="1"/>
    <col min="10" max="10" width="17.140625" style="116" customWidth="1"/>
    <col min="11" max="11" width="18.140625" style="116" customWidth="1"/>
    <col min="12" max="12" width="12.85546875" style="116" customWidth="1"/>
    <col min="13" max="13" width="15.5703125" style="116" customWidth="1"/>
    <col min="14" max="15" width="8.85546875" style="116"/>
    <col min="16" max="16" width="16.28515625" style="116" bestFit="1" customWidth="1"/>
    <col min="17" max="16384" width="8.85546875" style="116"/>
  </cols>
  <sheetData>
    <row r="1" spans="1:16" ht="18" x14ac:dyDescent="0.25">
      <c r="A1" s="146" t="s">
        <v>369</v>
      </c>
    </row>
    <row r="2" spans="1:16" ht="18" x14ac:dyDescent="0.25">
      <c r="A2" s="146"/>
    </row>
    <row r="3" spans="1:16" ht="18" x14ac:dyDescent="0.25">
      <c r="A3" s="146" t="s">
        <v>370</v>
      </c>
      <c r="B3" s="146"/>
      <c r="C3" s="146"/>
      <c r="D3" s="146"/>
      <c r="E3" s="146" t="s">
        <v>371</v>
      </c>
      <c r="I3" s="146" t="s">
        <v>372</v>
      </c>
    </row>
    <row r="5" spans="1:16" x14ac:dyDescent="0.2">
      <c r="A5" s="35" t="s">
        <v>373</v>
      </c>
      <c r="B5" s="35" t="s">
        <v>374</v>
      </c>
      <c r="C5" s="35" t="s">
        <v>25</v>
      </c>
      <c r="D5" s="147"/>
      <c r="E5" s="35" t="s">
        <v>374</v>
      </c>
      <c r="F5" s="35" t="s">
        <v>25</v>
      </c>
      <c r="G5" s="35" t="s">
        <v>375</v>
      </c>
      <c r="H5" s="147"/>
      <c r="I5" s="35" t="s">
        <v>376</v>
      </c>
      <c r="J5" s="35" t="s">
        <v>377</v>
      </c>
      <c r="K5" s="35" t="s">
        <v>374</v>
      </c>
      <c r="L5" s="35" t="s">
        <v>25</v>
      </c>
      <c r="M5" s="35" t="s">
        <v>375</v>
      </c>
      <c r="N5" s="116" t="s">
        <v>378</v>
      </c>
    </row>
    <row r="6" spans="1:16" x14ac:dyDescent="0.2">
      <c r="A6" s="125" t="s">
        <v>379</v>
      </c>
      <c r="B6" s="125">
        <v>13</v>
      </c>
      <c r="C6" s="148">
        <v>0</v>
      </c>
      <c r="D6" s="147"/>
      <c r="E6" s="125"/>
      <c r="F6" s="125"/>
      <c r="G6" s="125">
        <f t="shared" ref="G6:G20" si="0">E6-B6</f>
        <v>-13</v>
      </c>
      <c r="H6" s="147"/>
      <c r="I6" s="125">
        <v>6.5</v>
      </c>
      <c r="J6" s="125">
        <v>6.5</v>
      </c>
      <c r="K6" s="125">
        <f>J6+I6</f>
        <v>13</v>
      </c>
      <c r="L6" s="148">
        <v>0</v>
      </c>
      <c r="M6" s="125">
        <f>K6-B6</f>
        <v>0</v>
      </c>
    </row>
    <row r="7" spans="1:16" x14ac:dyDescent="0.2">
      <c r="A7" s="35" t="s">
        <v>86</v>
      </c>
      <c r="B7" s="35">
        <v>42.71</v>
      </c>
      <c r="C7" s="149">
        <v>21</v>
      </c>
      <c r="D7" s="147"/>
      <c r="E7" s="35"/>
      <c r="F7" s="35"/>
      <c r="G7" s="35">
        <f t="shared" si="0"/>
        <v>-42.71</v>
      </c>
      <c r="H7" s="147"/>
      <c r="I7" s="35">
        <v>26.09</v>
      </c>
      <c r="J7" s="35">
        <v>24.47</v>
      </c>
      <c r="K7" s="125">
        <f t="shared" ref="K7:K39" si="1">J7+I7</f>
        <v>50.56</v>
      </c>
      <c r="L7" s="149">
        <v>29</v>
      </c>
      <c r="M7" s="35">
        <f>K7-B7</f>
        <v>7.8500000000000014</v>
      </c>
    </row>
    <row r="8" spans="1:16" x14ac:dyDescent="0.2">
      <c r="A8" s="125" t="s">
        <v>380</v>
      </c>
      <c r="B8" s="125">
        <v>77.89</v>
      </c>
      <c r="C8" s="148">
        <v>127</v>
      </c>
      <c r="D8" s="147"/>
      <c r="E8" s="125"/>
      <c r="F8" s="125"/>
      <c r="G8" s="125">
        <f t="shared" si="0"/>
        <v>-77.89</v>
      </c>
      <c r="H8" s="147"/>
      <c r="I8" s="125">
        <v>78.180000000000007</v>
      </c>
      <c r="J8" s="125">
        <v>58.46</v>
      </c>
      <c r="K8" s="125">
        <f t="shared" si="1"/>
        <v>136.64000000000001</v>
      </c>
      <c r="L8" s="148">
        <v>133</v>
      </c>
      <c r="M8" s="125">
        <f t="shared" ref="M8:M38" si="2">K8-B8</f>
        <v>58.750000000000014</v>
      </c>
    </row>
    <row r="9" spans="1:16" x14ac:dyDescent="0.2">
      <c r="A9" s="35" t="s">
        <v>381</v>
      </c>
      <c r="B9" s="35">
        <v>1.9</v>
      </c>
      <c r="C9" s="149">
        <v>8</v>
      </c>
      <c r="D9" s="147"/>
      <c r="E9" s="35"/>
      <c r="F9" s="35"/>
      <c r="G9" s="35">
        <f t="shared" si="0"/>
        <v>-1.9</v>
      </c>
      <c r="H9" s="147"/>
      <c r="I9" s="35">
        <v>1.95</v>
      </c>
      <c r="J9" s="35">
        <v>1.55</v>
      </c>
      <c r="K9" s="125">
        <f t="shared" si="1"/>
        <v>3.5</v>
      </c>
      <c r="L9" s="149">
        <v>7</v>
      </c>
      <c r="M9" s="35">
        <f t="shared" si="2"/>
        <v>1.6</v>
      </c>
    </row>
    <row r="10" spans="1:16" x14ac:dyDescent="0.2">
      <c r="A10" s="125" t="s">
        <v>87</v>
      </c>
      <c r="B10" s="125">
        <v>53.82</v>
      </c>
      <c r="C10" s="148">
        <v>84</v>
      </c>
      <c r="D10" s="147"/>
      <c r="E10" s="125"/>
      <c r="F10" s="125"/>
      <c r="G10" s="125">
        <f t="shared" si="0"/>
        <v>-53.82</v>
      </c>
      <c r="H10" s="147"/>
      <c r="I10" s="125">
        <v>39.97</v>
      </c>
      <c r="J10" s="125">
        <v>13.85</v>
      </c>
      <c r="K10" s="125">
        <f t="shared" si="1"/>
        <v>53.82</v>
      </c>
      <c r="L10" s="148">
        <v>84</v>
      </c>
      <c r="M10" s="125">
        <f t="shared" si="2"/>
        <v>0</v>
      </c>
    </row>
    <row r="11" spans="1:16" x14ac:dyDescent="0.2">
      <c r="A11" s="35" t="s">
        <v>382</v>
      </c>
      <c r="B11" s="35">
        <v>1</v>
      </c>
      <c r="C11" s="149">
        <v>0</v>
      </c>
      <c r="D11" s="147"/>
      <c r="E11" s="35"/>
      <c r="F11" s="35"/>
      <c r="G11" s="35">
        <f t="shared" si="0"/>
        <v>-1</v>
      </c>
      <c r="H11" s="147"/>
      <c r="I11" s="35">
        <v>1</v>
      </c>
      <c r="J11" s="35">
        <v>0</v>
      </c>
      <c r="K11" s="125">
        <f t="shared" si="1"/>
        <v>1</v>
      </c>
      <c r="L11" s="149">
        <v>2</v>
      </c>
      <c r="M11" s="35">
        <f t="shared" si="2"/>
        <v>0</v>
      </c>
    </row>
    <row r="12" spans="1:16" x14ac:dyDescent="0.2">
      <c r="A12" s="125" t="s">
        <v>383</v>
      </c>
      <c r="B12" s="125">
        <v>540.92999999999995</v>
      </c>
      <c r="C12" s="148">
        <v>1071</v>
      </c>
      <c r="D12" s="147"/>
      <c r="E12" s="125"/>
      <c r="F12" s="125"/>
      <c r="G12" s="125">
        <f t="shared" si="0"/>
        <v>-540.92999999999995</v>
      </c>
      <c r="H12" s="147"/>
      <c r="I12" s="125">
        <v>536.04999999999995</v>
      </c>
      <c r="J12" s="125">
        <v>65.040000000000006</v>
      </c>
      <c r="K12" s="125">
        <f t="shared" si="1"/>
        <v>601.08999999999992</v>
      </c>
      <c r="L12" s="148">
        <v>1763</v>
      </c>
      <c r="M12" s="125">
        <f t="shared" si="2"/>
        <v>60.159999999999968</v>
      </c>
    </row>
    <row r="13" spans="1:16" x14ac:dyDescent="0.2">
      <c r="A13" s="35" t="s">
        <v>88</v>
      </c>
      <c r="B13" s="35">
        <v>48.11</v>
      </c>
      <c r="C13" s="149">
        <v>12</v>
      </c>
      <c r="D13" s="147"/>
      <c r="E13" s="35"/>
      <c r="F13" s="35"/>
      <c r="G13" s="35">
        <f t="shared" si="0"/>
        <v>-48.11</v>
      </c>
      <c r="H13" s="147"/>
      <c r="I13" s="35">
        <v>32.75</v>
      </c>
      <c r="J13" s="35">
        <v>24.64</v>
      </c>
      <c r="K13" s="125">
        <f t="shared" si="1"/>
        <v>57.39</v>
      </c>
      <c r="L13" s="149">
        <v>41</v>
      </c>
      <c r="M13" s="35">
        <f t="shared" si="2"/>
        <v>9.2800000000000011</v>
      </c>
    </row>
    <row r="14" spans="1:16" x14ac:dyDescent="0.2">
      <c r="A14" s="125" t="s">
        <v>384</v>
      </c>
      <c r="B14" s="125">
        <v>0</v>
      </c>
      <c r="C14" s="148">
        <v>0</v>
      </c>
      <c r="D14" s="147"/>
      <c r="E14" s="125"/>
      <c r="F14" s="125"/>
      <c r="G14" s="125">
        <f t="shared" si="0"/>
        <v>0</v>
      </c>
      <c r="H14" s="147"/>
      <c r="I14" s="125">
        <v>0</v>
      </c>
      <c r="J14" s="125">
        <v>0</v>
      </c>
      <c r="K14" s="125">
        <f t="shared" si="1"/>
        <v>0</v>
      </c>
      <c r="L14" s="148">
        <v>0</v>
      </c>
      <c r="M14" s="125">
        <f t="shared" si="2"/>
        <v>0</v>
      </c>
      <c r="P14" s="150">
        <v>1015000</v>
      </c>
    </row>
    <row r="15" spans="1:16" x14ac:dyDescent="0.2">
      <c r="A15" s="35" t="s">
        <v>89</v>
      </c>
      <c r="B15" s="35">
        <v>312.95999999999998</v>
      </c>
      <c r="C15" s="149">
        <v>391</v>
      </c>
      <c r="D15" s="147"/>
      <c r="E15" s="35"/>
      <c r="F15" s="35"/>
      <c r="G15" s="35">
        <f t="shared" si="0"/>
        <v>-312.95999999999998</v>
      </c>
      <c r="H15" s="147"/>
      <c r="I15" s="35">
        <v>192.3</v>
      </c>
      <c r="J15" s="35">
        <v>278.04000000000002</v>
      </c>
      <c r="K15" s="125">
        <f t="shared" si="1"/>
        <v>470.34000000000003</v>
      </c>
      <c r="L15" s="149">
        <v>564</v>
      </c>
      <c r="M15" s="35">
        <f t="shared" si="2"/>
        <v>157.38000000000005</v>
      </c>
      <c r="P15" s="116" t="s">
        <v>385</v>
      </c>
    </row>
    <row r="16" spans="1:16" x14ac:dyDescent="0.2">
      <c r="A16" s="125" t="s">
        <v>90</v>
      </c>
      <c r="B16" s="125">
        <v>7.5</v>
      </c>
      <c r="C16" s="148">
        <v>26</v>
      </c>
      <c r="D16" s="147"/>
      <c r="E16" s="125"/>
      <c r="F16" s="125"/>
      <c r="G16" s="125">
        <f t="shared" si="0"/>
        <v>-7.5</v>
      </c>
      <c r="H16" s="147"/>
      <c r="I16" s="125">
        <v>5.75</v>
      </c>
      <c r="J16" s="125">
        <v>0.55000000000000004</v>
      </c>
      <c r="K16" s="125">
        <f t="shared" si="1"/>
        <v>6.3</v>
      </c>
      <c r="L16" s="148">
        <v>25</v>
      </c>
      <c r="M16" s="125">
        <f t="shared" si="2"/>
        <v>-1.2000000000000002</v>
      </c>
    </row>
    <row r="17" spans="1:16" x14ac:dyDescent="0.2">
      <c r="A17" s="35" t="s">
        <v>386</v>
      </c>
      <c r="B17" s="35">
        <v>502.44</v>
      </c>
      <c r="C17" s="149">
        <v>832</v>
      </c>
      <c r="D17" s="147"/>
      <c r="E17" s="35"/>
      <c r="F17" s="35"/>
      <c r="G17" s="35">
        <f t="shared" si="0"/>
        <v>-502.44</v>
      </c>
      <c r="H17" s="147"/>
      <c r="I17" s="35">
        <v>413.98</v>
      </c>
      <c r="J17" s="35">
        <v>136.13999999999999</v>
      </c>
      <c r="K17" s="125">
        <f t="shared" si="1"/>
        <v>550.12</v>
      </c>
      <c r="L17" s="149">
        <v>1021</v>
      </c>
      <c r="M17" s="35">
        <f t="shared" si="2"/>
        <v>47.680000000000007</v>
      </c>
    </row>
    <row r="18" spans="1:16" x14ac:dyDescent="0.2">
      <c r="A18" s="125" t="s">
        <v>387</v>
      </c>
      <c r="B18" s="125">
        <v>395.72</v>
      </c>
      <c r="C18" s="148">
        <v>852</v>
      </c>
      <c r="D18" s="147"/>
      <c r="E18" s="125"/>
      <c r="F18" s="125"/>
      <c r="G18" s="125">
        <f t="shared" si="0"/>
        <v>-395.72</v>
      </c>
      <c r="H18" s="147"/>
      <c r="I18" s="125">
        <v>379.35</v>
      </c>
      <c r="J18" s="125">
        <v>35.65</v>
      </c>
      <c r="K18" s="125">
        <f t="shared" si="1"/>
        <v>415</v>
      </c>
      <c r="L18" s="148">
        <v>1119</v>
      </c>
      <c r="M18" s="125">
        <f t="shared" si="2"/>
        <v>19.279999999999973</v>
      </c>
      <c r="P18" s="150">
        <v>508000</v>
      </c>
    </row>
    <row r="19" spans="1:16" x14ac:dyDescent="0.2">
      <c r="A19" s="35" t="s">
        <v>91</v>
      </c>
      <c r="B19" s="35">
        <v>20</v>
      </c>
      <c r="C19" s="149">
        <v>260</v>
      </c>
      <c r="D19" s="147"/>
      <c r="E19" s="35"/>
      <c r="F19" s="35"/>
      <c r="G19" s="35">
        <f t="shared" si="0"/>
        <v>-20</v>
      </c>
      <c r="H19" s="147"/>
      <c r="I19" s="35">
        <v>51.5</v>
      </c>
      <c r="J19" s="35">
        <v>20.7</v>
      </c>
      <c r="K19" s="125">
        <f t="shared" si="1"/>
        <v>72.2</v>
      </c>
      <c r="L19" s="149">
        <v>146</v>
      </c>
      <c r="M19" s="35">
        <f t="shared" si="2"/>
        <v>52.2</v>
      </c>
      <c r="P19" s="116" t="s">
        <v>388</v>
      </c>
    </row>
    <row r="20" spans="1:16" x14ac:dyDescent="0.2">
      <c r="A20" s="125" t="s">
        <v>389</v>
      </c>
      <c r="B20" s="125">
        <v>253.48</v>
      </c>
      <c r="C20" s="148">
        <v>467</v>
      </c>
      <c r="D20" s="147"/>
      <c r="E20" s="125"/>
      <c r="F20" s="125"/>
      <c r="G20" s="125">
        <f t="shared" si="0"/>
        <v>-253.48</v>
      </c>
      <c r="H20" s="147"/>
      <c r="I20" s="125">
        <v>212.43</v>
      </c>
      <c r="J20" s="125">
        <v>48.19</v>
      </c>
      <c r="K20" s="125">
        <f t="shared" si="1"/>
        <v>260.62</v>
      </c>
      <c r="L20" s="148">
        <v>488</v>
      </c>
      <c r="M20" s="125">
        <f t="shared" si="2"/>
        <v>7.1400000000000148</v>
      </c>
    </row>
    <row r="21" spans="1:16" x14ac:dyDescent="0.2">
      <c r="A21" s="35" t="s">
        <v>390</v>
      </c>
      <c r="B21" s="35">
        <v>465.59</v>
      </c>
      <c r="C21" s="149">
        <v>823</v>
      </c>
      <c r="D21" s="151"/>
      <c r="E21" s="35">
        <v>617.54999999999995</v>
      </c>
      <c r="F21" s="35"/>
      <c r="G21" s="35">
        <f>E21-B21</f>
        <v>151.95999999999998</v>
      </c>
      <c r="H21" s="151"/>
      <c r="I21" s="35">
        <v>455.62</v>
      </c>
      <c r="J21" s="35">
        <v>97.35</v>
      </c>
      <c r="K21" s="125">
        <f t="shared" si="1"/>
        <v>552.97</v>
      </c>
      <c r="L21" s="149">
        <v>1214</v>
      </c>
      <c r="M21" s="35">
        <f t="shared" si="2"/>
        <v>87.380000000000052</v>
      </c>
      <c r="N21" s="116">
        <f>K21-E21</f>
        <v>-64.579999999999927</v>
      </c>
    </row>
    <row r="22" spans="1:16" x14ac:dyDescent="0.2">
      <c r="A22" s="125" t="s">
        <v>391</v>
      </c>
      <c r="B22" s="125">
        <v>260.98</v>
      </c>
      <c r="C22" s="148">
        <v>541</v>
      </c>
      <c r="D22" s="151"/>
      <c r="E22" s="125">
        <v>259.32</v>
      </c>
      <c r="F22" s="125"/>
      <c r="G22" s="125">
        <f t="shared" ref="G22:G39" si="3">E22-B22</f>
        <v>-1.660000000000025</v>
      </c>
      <c r="H22" s="151"/>
      <c r="I22" s="125">
        <v>242.95</v>
      </c>
      <c r="J22" s="125">
        <v>29.08</v>
      </c>
      <c r="K22" s="125">
        <f t="shared" si="1"/>
        <v>272.02999999999997</v>
      </c>
      <c r="L22" s="148">
        <v>663</v>
      </c>
      <c r="M22" s="125">
        <f t="shared" si="2"/>
        <v>11.049999999999955</v>
      </c>
      <c r="N22" s="116">
        <f>K22-E22</f>
        <v>12.70999999999998</v>
      </c>
    </row>
    <row r="23" spans="1:16" x14ac:dyDescent="0.2">
      <c r="A23" s="35" t="s">
        <v>92</v>
      </c>
      <c r="B23" s="35">
        <v>95.94</v>
      </c>
      <c r="C23" s="149">
        <v>184</v>
      </c>
      <c r="D23" s="147"/>
      <c r="E23" s="35"/>
      <c r="F23" s="35"/>
      <c r="G23" s="35">
        <f t="shared" si="3"/>
        <v>-95.94</v>
      </c>
      <c r="H23" s="147"/>
      <c r="I23" s="35">
        <v>80.959999999999994</v>
      </c>
      <c r="J23" s="35">
        <v>140.02000000000001</v>
      </c>
      <c r="K23" s="125">
        <f t="shared" si="1"/>
        <v>220.98000000000002</v>
      </c>
      <c r="L23" s="149">
        <v>251</v>
      </c>
      <c r="M23" s="35">
        <f t="shared" si="2"/>
        <v>125.04000000000002</v>
      </c>
    </row>
    <row r="24" spans="1:16" x14ac:dyDescent="0.2">
      <c r="A24" s="125" t="s">
        <v>93</v>
      </c>
      <c r="B24" s="125">
        <v>73</v>
      </c>
      <c r="C24" s="148">
        <v>36</v>
      </c>
      <c r="D24" s="147"/>
      <c r="E24" s="125"/>
      <c r="F24" s="125"/>
      <c r="G24" s="125">
        <f t="shared" si="3"/>
        <v>-73</v>
      </c>
      <c r="H24" s="147"/>
      <c r="I24" s="125">
        <v>5.75</v>
      </c>
      <c r="J24" s="125">
        <v>114.76</v>
      </c>
      <c r="K24" s="125">
        <f t="shared" si="1"/>
        <v>120.51</v>
      </c>
      <c r="L24" s="148">
        <v>48</v>
      </c>
      <c r="M24" s="125">
        <f t="shared" si="2"/>
        <v>47.510000000000005</v>
      </c>
      <c r="P24" s="152">
        <f>P18/E40</f>
        <v>200.91439781050767</v>
      </c>
    </row>
    <row r="25" spans="1:16" x14ac:dyDescent="0.2">
      <c r="A25" s="35" t="s">
        <v>392</v>
      </c>
      <c r="B25" s="35">
        <v>361.08</v>
      </c>
      <c r="C25" s="149">
        <v>776</v>
      </c>
      <c r="D25" s="147"/>
      <c r="E25" s="35"/>
      <c r="F25" s="35"/>
      <c r="G25" s="35">
        <f t="shared" si="3"/>
        <v>-361.08</v>
      </c>
      <c r="H25" s="147"/>
      <c r="I25" s="35">
        <v>178.19</v>
      </c>
      <c r="J25" s="35">
        <v>219.9</v>
      </c>
      <c r="K25" s="125">
        <f t="shared" si="1"/>
        <v>398.09000000000003</v>
      </c>
      <c r="L25" s="149">
        <v>756</v>
      </c>
      <c r="M25" s="35">
        <f t="shared" si="2"/>
        <v>37.010000000000048</v>
      </c>
    </row>
    <row r="26" spans="1:16" x14ac:dyDescent="0.2">
      <c r="A26" s="125" t="s">
        <v>94</v>
      </c>
      <c r="B26" s="125">
        <v>9.49</v>
      </c>
      <c r="C26" s="148">
        <v>10</v>
      </c>
      <c r="D26" s="147"/>
      <c r="E26" s="125"/>
      <c r="F26" s="125"/>
      <c r="G26" s="125">
        <f t="shared" si="3"/>
        <v>-9.49</v>
      </c>
      <c r="H26" s="147"/>
      <c r="I26" s="125">
        <v>5.1100000000000003</v>
      </c>
      <c r="J26" s="125">
        <v>1.82</v>
      </c>
      <c r="K26" s="125">
        <f t="shared" si="1"/>
        <v>6.9300000000000006</v>
      </c>
      <c r="L26" s="148">
        <v>33</v>
      </c>
      <c r="M26" s="125">
        <f t="shared" si="2"/>
        <v>-2.5599999999999996</v>
      </c>
    </row>
    <row r="27" spans="1:16" x14ac:dyDescent="0.2">
      <c r="A27" s="35" t="s">
        <v>95</v>
      </c>
      <c r="B27" s="35">
        <v>121.78</v>
      </c>
      <c r="C27" s="149">
        <v>196</v>
      </c>
      <c r="D27" s="147"/>
      <c r="E27" s="35"/>
      <c r="F27" s="35"/>
      <c r="G27" s="35">
        <f t="shared" si="3"/>
        <v>-121.78</v>
      </c>
      <c r="H27" s="147"/>
      <c r="I27" s="35">
        <v>120.57</v>
      </c>
      <c r="J27" s="35">
        <v>176.14</v>
      </c>
      <c r="K27" s="125">
        <f t="shared" si="1"/>
        <v>296.70999999999998</v>
      </c>
      <c r="L27" s="149">
        <v>310</v>
      </c>
      <c r="M27" s="35">
        <f t="shared" si="2"/>
        <v>174.92999999999998</v>
      </c>
    </row>
    <row r="28" spans="1:16" x14ac:dyDescent="0.2">
      <c r="A28" s="125" t="s">
        <v>393</v>
      </c>
      <c r="B28" s="125">
        <v>72.41</v>
      </c>
      <c r="C28" s="148">
        <v>103</v>
      </c>
      <c r="D28" s="151"/>
      <c r="E28" s="125">
        <v>77.19</v>
      </c>
      <c r="F28" s="125"/>
      <c r="G28" s="125">
        <f t="shared" si="3"/>
        <v>4.7800000000000011</v>
      </c>
      <c r="H28" s="151"/>
      <c r="I28" s="125">
        <v>57.08</v>
      </c>
      <c r="J28" s="125">
        <v>22.37</v>
      </c>
      <c r="K28" s="125">
        <f t="shared" si="1"/>
        <v>79.45</v>
      </c>
      <c r="L28" s="148">
        <v>247</v>
      </c>
      <c r="M28" s="125">
        <f t="shared" si="2"/>
        <v>7.0400000000000063</v>
      </c>
      <c r="N28" s="116">
        <f>K28-E28</f>
        <v>2.2600000000000051</v>
      </c>
    </row>
    <row r="29" spans="1:16" x14ac:dyDescent="0.2">
      <c r="A29" s="35" t="s">
        <v>96</v>
      </c>
      <c r="B29" s="35">
        <v>135.57</v>
      </c>
      <c r="C29" s="149">
        <v>684</v>
      </c>
      <c r="D29" s="147"/>
      <c r="E29" s="35"/>
      <c r="F29" s="35"/>
      <c r="G29" s="35">
        <f t="shared" si="3"/>
        <v>-135.57</v>
      </c>
      <c r="H29" s="147"/>
      <c r="I29" s="35">
        <v>94.35</v>
      </c>
      <c r="J29" s="35">
        <v>56.44</v>
      </c>
      <c r="K29" s="125">
        <f t="shared" si="1"/>
        <v>150.79</v>
      </c>
      <c r="L29" s="149">
        <v>725</v>
      </c>
      <c r="M29" s="35">
        <f t="shared" si="2"/>
        <v>15.219999999999999</v>
      </c>
      <c r="P29" s="152"/>
    </row>
    <row r="30" spans="1:16" x14ac:dyDescent="0.2">
      <c r="A30" s="125" t="s">
        <v>394</v>
      </c>
      <c r="B30" s="125">
        <v>70.78</v>
      </c>
      <c r="C30" s="148">
        <v>180</v>
      </c>
      <c r="D30" s="147"/>
      <c r="E30" s="125"/>
      <c r="F30" s="125"/>
      <c r="G30" s="125">
        <f t="shared" si="3"/>
        <v>-70.78</v>
      </c>
      <c r="H30" s="147"/>
      <c r="I30" s="125">
        <v>59.57</v>
      </c>
      <c r="J30" s="125">
        <v>45.02</v>
      </c>
      <c r="K30" s="125">
        <f t="shared" si="1"/>
        <v>104.59</v>
      </c>
      <c r="L30" s="148">
        <v>182</v>
      </c>
      <c r="M30" s="125">
        <f t="shared" si="2"/>
        <v>33.81</v>
      </c>
    </row>
    <row r="31" spans="1:16" x14ac:dyDescent="0.2">
      <c r="A31" s="35" t="s">
        <v>97</v>
      </c>
      <c r="B31" s="35">
        <v>15.53</v>
      </c>
      <c r="C31" s="149">
        <v>12</v>
      </c>
      <c r="D31" s="147"/>
      <c r="E31" s="35"/>
      <c r="F31" s="35"/>
      <c r="G31" s="35">
        <f t="shared" si="3"/>
        <v>-15.53</v>
      </c>
      <c r="H31" s="147"/>
      <c r="I31" s="35">
        <v>22.92</v>
      </c>
      <c r="J31" s="35">
        <v>10.199999999999999</v>
      </c>
      <c r="K31" s="125">
        <f t="shared" si="1"/>
        <v>33.120000000000005</v>
      </c>
      <c r="L31" s="149">
        <v>28</v>
      </c>
      <c r="M31" s="35">
        <f t="shared" si="2"/>
        <v>17.590000000000003</v>
      </c>
    </row>
    <row r="32" spans="1:16" x14ac:dyDescent="0.2">
      <c r="A32" s="125" t="s">
        <v>98</v>
      </c>
      <c r="B32" s="125">
        <v>339.57</v>
      </c>
      <c r="C32" s="148">
        <v>345</v>
      </c>
      <c r="D32" s="147"/>
      <c r="E32" s="125"/>
      <c r="F32" s="125"/>
      <c r="G32" s="125">
        <f t="shared" si="3"/>
        <v>-339.57</v>
      </c>
      <c r="H32" s="147"/>
      <c r="I32" s="125">
        <v>244.07</v>
      </c>
      <c r="J32" s="125">
        <v>189.8</v>
      </c>
      <c r="K32" s="125">
        <f t="shared" si="1"/>
        <v>433.87</v>
      </c>
      <c r="L32" s="148">
        <v>445</v>
      </c>
      <c r="M32" s="125">
        <f t="shared" si="2"/>
        <v>94.300000000000011</v>
      </c>
    </row>
    <row r="33" spans="1:14" x14ac:dyDescent="0.2">
      <c r="A33" s="35" t="s">
        <v>395</v>
      </c>
      <c r="B33" s="35">
        <v>18.7</v>
      </c>
      <c r="C33" s="149">
        <v>77</v>
      </c>
      <c r="D33" s="147"/>
      <c r="E33" s="35"/>
      <c r="F33" s="35"/>
      <c r="G33" s="35">
        <f t="shared" si="3"/>
        <v>-18.7</v>
      </c>
      <c r="H33" s="147"/>
      <c r="I33" s="35">
        <v>15.54</v>
      </c>
      <c r="J33" s="35">
        <v>3.49</v>
      </c>
      <c r="K33" s="125">
        <f t="shared" si="1"/>
        <v>19.03</v>
      </c>
      <c r="L33" s="149">
        <v>78</v>
      </c>
      <c r="M33" s="35">
        <f t="shared" si="2"/>
        <v>0.33000000000000185</v>
      </c>
    </row>
    <row r="34" spans="1:14" x14ac:dyDescent="0.2">
      <c r="A34" s="125" t="s">
        <v>396</v>
      </c>
      <c r="B34" s="125">
        <v>231.56</v>
      </c>
      <c r="C34" s="148">
        <v>515</v>
      </c>
      <c r="D34" s="147"/>
      <c r="E34" s="125"/>
      <c r="F34" s="125"/>
      <c r="G34" s="125">
        <f t="shared" si="3"/>
        <v>-231.56</v>
      </c>
      <c r="H34" s="147"/>
      <c r="I34" s="125">
        <v>191.7</v>
      </c>
      <c r="J34" s="125">
        <v>130.63</v>
      </c>
      <c r="K34" s="125">
        <f t="shared" si="1"/>
        <v>322.33</v>
      </c>
      <c r="L34" s="148">
        <v>712</v>
      </c>
      <c r="M34" s="125">
        <f t="shared" si="2"/>
        <v>90.769999999999982</v>
      </c>
    </row>
    <row r="35" spans="1:14" x14ac:dyDescent="0.2">
      <c r="A35" s="35" t="s">
        <v>99</v>
      </c>
      <c r="B35" s="35">
        <v>94.84</v>
      </c>
      <c r="C35" s="149">
        <v>134</v>
      </c>
      <c r="D35" s="147"/>
      <c r="E35" s="35"/>
      <c r="F35" s="35"/>
      <c r="G35" s="35">
        <f t="shared" si="3"/>
        <v>-94.84</v>
      </c>
      <c r="H35" s="147"/>
      <c r="I35" s="35">
        <v>36.340000000000003</v>
      </c>
      <c r="J35" s="35">
        <v>26.62</v>
      </c>
      <c r="K35" s="125">
        <f t="shared" si="1"/>
        <v>62.960000000000008</v>
      </c>
      <c r="L35" s="149">
        <v>175</v>
      </c>
      <c r="M35" s="35">
        <f t="shared" si="2"/>
        <v>-31.879999999999995</v>
      </c>
    </row>
    <row r="36" spans="1:14" x14ac:dyDescent="0.2">
      <c r="A36" s="125" t="s">
        <v>397</v>
      </c>
      <c r="B36" s="125">
        <v>831.18</v>
      </c>
      <c r="C36" s="148">
        <v>1501</v>
      </c>
      <c r="D36" s="151"/>
      <c r="E36" s="125">
        <v>1055.4100000000001</v>
      </c>
      <c r="F36" s="125"/>
      <c r="G36" s="125">
        <f t="shared" si="3"/>
        <v>224.23000000000013</v>
      </c>
      <c r="H36" s="151"/>
      <c r="I36" s="125">
        <v>623.03</v>
      </c>
      <c r="J36" s="125">
        <v>324.52</v>
      </c>
      <c r="K36" s="125">
        <f t="shared" si="1"/>
        <v>947.55</v>
      </c>
      <c r="L36" s="148">
        <v>1598</v>
      </c>
      <c r="M36" s="125">
        <f>K36-B36</f>
        <v>116.37</v>
      </c>
      <c r="N36" s="116">
        <f>K36-E36</f>
        <v>-107.86000000000013</v>
      </c>
    </row>
    <row r="37" spans="1:14" x14ac:dyDescent="0.2">
      <c r="A37" s="35" t="s">
        <v>398</v>
      </c>
      <c r="B37" s="35">
        <v>349.24</v>
      </c>
      <c r="C37" s="149">
        <v>666</v>
      </c>
      <c r="D37" s="151"/>
      <c r="E37" s="35">
        <v>367.87</v>
      </c>
      <c r="F37" s="35"/>
      <c r="G37" s="35">
        <f t="shared" si="3"/>
        <v>18.629999999999995</v>
      </c>
      <c r="H37" s="151"/>
      <c r="I37" s="35">
        <v>259.39999999999998</v>
      </c>
      <c r="J37" s="35">
        <v>109.53</v>
      </c>
      <c r="K37" s="125">
        <f t="shared" si="1"/>
        <v>368.92999999999995</v>
      </c>
      <c r="L37" s="149">
        <v>890</v>
      </c>
      <c r="M37" s="35">
        <f>K37-B37</f>
        <v>19.689999999999941</v>
      </c>
      <c r="N37" s="116">
        <f>K37-E37</f>
        <v>1.0599999999999454</v>
      </c>
    </row>
    <row r="38" spans="1:14" x14ac:dyDescent="0.2">
      <c r="A38" s="125" t="s">
        <v>399</v>
      </c>
      <c r="B38" s="125">
        <v>95.27</v>
      </c>
      <c r="C38" s="148">
        <v>236</v>
      </c>
      <c r="D38" s="147"/>
      <c r="E38" s="125"/>
      <c r="F38" s="125"/>
      <c r="G38" s="125">
        <f t="shared" si="3"/>
        <v>-95.27</v>
      </c>
      <c r="H38" s="147"/>
      <c r="I38" s="125">
        <v>66.89</v>
      </c>
      <c r="J38" s="125">
        <v>62.01</v>
      </c>
      <c r="K38" s="125">
        <f t="shared" si="1"/>
        <v>128.9</v>
      </c>
      <c r="L38" s="148">
        <v>304</v>
      </c>
      <c r="M38" s="125">
        <f t="shared" si="2"/>
        <v>33.63000000000001</v>
      </c>
    </row>
    <row r="39" spans="1:14" x14ac:dyDescent="0.2">
      <c r="A39" s="153" t="s">
        <v>400</v>
      </c>
      <c r="B39" s="153">
        <v>173.85</v>
      </c>
      <c r="C39" s="154">
        <v>350</v>
      </c>
      <c r="D39" s="155"/>
      <c r="E39" s="153">
        <v>151.1</v>
      </c>
      <c r="F39" s="153"/>
      <c r="G39" s="153">
        <f t="shared" si="3"/>
        <v>-22.75</v>
      </c>
      <c r="H39" s="155"/>
      <c r="I39" s="153">
        <v>136.35</v>
      </c>
      <c r="J39" s="153">
        <v>87.33</v>
      </c>
      <c r="K39" s="125">
        <f t="shared" si="1"/>
        <v>223.68</v>
      </c>
      <c r="L39" s="154">
        <v>475</v>
      </c>
      <c r="M39" s="35">
        <f>K39-B39</f>
        <v>49.830000000000013</v>
      </c>
      <c r="N39" s="116">
        <f>K39-E39</f>
        <v>72.580000000000013</v>
      </c>
    </row>
    <row r="40" spans="1:14" ht="15" x14ac:dyDescent="0.25">
      <c r="A40" s="156" t="s">
        <v>401</v>
      </c>
      <c r="B40" s="156">
        <f>SUM(B6:B39)</f>
        <v>6087.8200000000015</v>
      </c>
      <c r="C40" s="156">
        <f>SUM(C6:C39)</f>
        <v>11520</v>
      </c>
      <c r="D40" s="157"/>
      <c r="E40" s="156">
        <f>SUM(E6:E39)</f>
        <v>2528.44</v>
      </c>
      <c r="F40" s="156"/>
      <c r="G40" s="156"/>
      <c r="H40" s="158"/>
      <c r="I40" s="156">
        <f>SUM(I6:I39)</f>
        <v>4874.1900000000005</v>
      </c>
      <c r="J40" s="156">
        <f>SUM(J6:J39)</f>
        <v>2560.81</v>
      </c>
      <c r="K40" s="156">
        <f>SUM(K6:K39)</f>
        <v>7434.9999999999991</v>
      </c>
      <c r="L40" s="156">
        <f>SUM(L6:L39)</f>
        <v>14556</v>
      </c>
      <c r="M40" s="156">
        <f>SUM(M6:M39)</f>
        <v>1347.1799999999998</v>
      </c>
    </row>
    <row r="42" spans="1:14" x14ac:dyDescent="0.2">
      <c r="A42" s="159" t="s">
        <v>402</v>
      </c>
      <c r="B42" s="35" t="s">
        <v>374</v>
      </c>
      <c r="I42" s="116">
        <v>493.76</v>
      </c>
    </row>
    <row r="43" spans="1:14" x14ac:dyDescent="0.2">
      <c r="A43" s="35" t="s">
        <v>403</v>
      </c>
      <c r="B43" s="35">
        <v>818.37000000000012</v>
      </c>
      <c r="E43" s="116">
        <f>B36*0.15</f>
        <v>124.67699999999999</v>
      </c>
      <c r="I43" s="116">
        <v>179.58</v>
      </c>
    </row>
    <row r="44" spans="1:14" x14ac:dyDescent="0.2">
      <c r="A44" s="35" t="s">
        <v>404</v>
      </c>
      <c r="B44" s="35">
        <v>2918.24</v>
      </c>
    </row>
    <row r="45" spans="1:14" x14ac:dyDescent="0.2">
      <c r="A45" s="35" t="s">
        <v>405</v>
      </c>
      <c r="B45" s="35">
        <v>1867.9299999999998</v>
      </c>
    </row>
    <row r="46" spans="1:14" x14ac:dyDescent="0.2">
      <c r="A46" s="35" t="s">
        <v>406</v>
      </c>
      <c r="B46" s="35">
        <v>429.46</v>
      </c>
    </row>
    <row r="47" spans="1:14" x14ac:dyDescent="0.2">
      <c r="A47" s="35" t="s">
        <v>368</v>
      </c>
      <c r="B47" s="35">
        <f>SUM(B43:B46)</f>
        <v>6033.9999999999991</v>
      </c>
    </row>
    <row r="48" spans="1:14" x14ac:dyDescent="0.2">
      <c r="A48" s="160" t="s">
        <v>407</v>
      </c>
    </row>
    <row r="49" spans="1:1" x14ac:dyDescent="0.2">
      <c r="A49" s="116" t="s">
        <v>408</v>
      </c>
    </row>
    <row r="50" spans="1:1" x14ac:dyDescent="0.2">
      <c r="A50" s="116" t="s">
        <v>409</v>
      </c>
    </row>
    <row r="51" spans="1:1" x14ac:dyDescent="0.2">
      <c r="A51" s="116" t="s">
        <v>410</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19BD-52DC-4193-A8F1-6369DE2062DF}">
  <sheetPr>
    <tabColor rgb="FF00B050"/>
  </sheetPr>
  <dimension ref="A1:U33"/>
  <sheetViews>
    <sheetView zoomScale="110" zoomScaleNormal="110" workbookViewId="0">
      <pane ySplit="1" topLeftCell="A2" activePane="bottomLeft" state="frozen"/>
      <selection pane="bottomLeft" activeCell="K31" sqref="K31"/>
    </sheetView>
  </sheetViews>
  <sheetFormatPr defaultRowHeight="12.75" x14ac:dyDescent="0.2"/>
  <cols>
    <col min="1" max="1" width="19.85546875" customWidth="1"/>
    <col min="2" max="7" width="12.5703125" customWidth="1"/>
    <col min="8" max="8" width="11.28515625" customWidth="1"/>
    <col min="9" max="10" width="12.5703125" customWidth="1"/>
    <col min="12" max="12" width="12.5703125" customWidth="1"/>
    <col min="13" max="13" width="13.85546875" customWidth="1"/>
    <col min="14" max="14" width="11" customWidth="1"/>
    <col min="18" max="18" width="10.7109375" customWidth="1"/>
    <col min="24" max="24" width="23.42578125" customWidth="1"/>
    <col min="25" max="25" width="30.140625" customWidth="1"/>
    <col min="26" max="26" width="12.42578125" customWidth="1"/>
  </cols>
  <sheetData>
    <row r="1" spans="1:20" s="18" customFormat="1" x14ac:dyDescent="0.2">
      <c r="A1" s="43" t="s">
        <v>29</v>
      </c>
      <c r="B1" s="21" t="s">
        <v>57</v>
      </c>
      <c r="C1" s="21" t="s">
        <v>61</v>
      </c>
      <c r="D1" s="21" t="s">
        <v>100</v>
      </c>
      <c r="E1" s="21" t="s">
        <v>104</v>
      </c>
      <c r="F1" s="21" t="s">
        <v>105</v>
      </c>
      <c r="G1" s="21" t="s">
        <v>106</v>
      </c>
      <c r="H1" s="21" t="s">
        <v>111</v>
      </c>
      <c r="I1" s="21" t="s">
        <v>107</v>
      </c>
      <c r="J1" s="21" t="s">
        <v>108</v>
      </c>
      <c r="K1" s="21"/>
      <c r="L1" s="21" t="s">
        <v>65</v>
      </c>
      <c r="M1" s="21" t="s">
        <v>109</v>
      </c>
      <c r="N1" s="21" t="s">
        <v>110</v>
      </c>
      <c r="O1" s="21" t="s">
        <v>60</v>
      </c>
      <c r="P1" s="21" t="s">
        <v>62</v>
      </c>
      <c r="Q1" s="21" t="s">
        <v>112</v>
      </c>
      <c r="R1" s="21" t="s">
        <v>113</v>
      </c>
      <c r="S1" s="21" t="s">
        <v>64</v>
      </c>
      <c r="T1" s="21" t="s">
        <v>63</v>
      </c>
    </row>
    <row r="2" spans="1:20" x14ac:dyDescent="0.2">
      <c r="A2" s="21" t="s">
        <v>22</v>
      </c>
    </row>
    <row r="3" spans="1:20" ht="28.5" customHeight="1" x14ac:dyDescent="0.2">
      <c r="A3" s="20" t="s">
        <v>101</v>
      </c>
      <c r="B3" s="46">
        <v>550</v>
      </c>
      <c r="C3" s="46">
        <v>398</v>
      </c>
      <c r="D3" s="46">
        <v>19</v>
      </c>
      <c r="E3" s="46">
        <v>129</v>
      </c>
      <c r="F3" s="46">
        <v>72</v>
      </c>
      <c r="G3" s="46">
        <v>51</v>
      </c>
      <c r="H3" s="46">
        <v>33</v>
      </c>
      <c r="I3" s="46">
        <v>57</v>
      </c>
      <c r="J3" s="46">
        <v>121</v>
      </c>
      <c r="L3" s="46">
        <v>434</v>
      </c>
      <c r="M3" s="46">
        <v>6</v>
      </c>
      <c r="N3" s="46">
        <v>221</v>
      </c>
      <c r="O3" s="46">
        <v>470</v>
      </c>
      <c r="P3" s="46">
        <v>297</v>
      </c>
      <c r="Q3" s="46">
        <v>7</v>
      </c>
      <c r="R3" s="46">
        <v>54</v>
      </c>
      <c r="S3" s="46">
        <v>63</v>
      </c>
      <c r="T3" s="46">
        <v>151</v>
      </c>
    </row>
    <row r="4" spans="1:20" s="55" customFormat="1" x14ac:dyDescent="0.2">
      <c r="A4" s="80" t="s">
        <v>26</v>
      </c>
      <c r="B4" s="55">
        <v>20</v>
      </c>
      <c r="C4" s="55">
        <v>20</v>
      </c>
      <c r="D4" s="55">
        <v>20</v>
      </c>
      <c r="E4" s="55">
        <v>20</v>
      </c>
      <c r="F4" s="55">
        <v>20</v>
      </c>
      <c r="G4" s="55">
        <v>20</v>
      </c>
      <c r="H4" s="55">
        <v>20</v>
      </c>
      <c r="I4" s="55">
        <v>20</v>
      </c>
      <c r="J4" s="55">
        <v>20</v>
      </c>
      <c r="L4" s="55">
        <v>20</v>
      </c>
      <c r="M4" s="55">
        <v>20</v>
      </c>
      <c r="N4" s="55">
        <v>20</v>
      </c>
      <c r="O4" s="55">
        <v>20</v>
      </c>
      <c r="P4" s="55">
        <v>20</v>
      </c>
      <c r="Q4" s="55">
        <v>20</v>
      </c>
      <c r="R4" s="55">
        <v>20</v>
      </c>
      <c r="S4" s="55">
        <v>20</v>
      </c>
      <c r="T4" s="55">
        <v>20</v>
      </c>
    </row>
    <row r="5" spans="1:20" x14ac:dyDescent="0.2">
      <c r="A5" t="s">
        <v>23</v>
      </c>
      <c r="B5">
        <f>B3/B4</f>
        <v>27.5</v>
      </c>
      <c r="C5">
        <f t="shared" ref="C5:J5" si="0">C3/C4</f>
        <v>19.899999999999999</v>
      </c>
      <c r="D5">
        <f t="shared" si="0"/>
        <v>0.95</v>
      </c>
      <c r="E5">
        <f t="shared" si="0"/>
        <v>6.45</v>
      </c>
      <c r="F5">
        <f t="shared" si="0"/>
        <v>3.6</v>
      </c>
      <c r="G5">
        <f t="shared" si="0"/>
        <v>2.5499999999999998</v>
      </c>
      <c r="H5">
        <f t="shared" si="0"/>
        <v>1.65</v>
      </c>
      <c r="I5">
        <f t="shared" si="0"/>
        <v>2.85</v>
      </c>
      <c r="J5">
        <f t="shared" si="0"/>
        <v>6.05</v>
      </c>
      <c r="L5">
        <f t="shared" ref="L5:T5" si="1">L3/L4</f>
        <v>21.7</v>
      </c>
      <c r="M5">
        <f t="shared" si="1"/>
        <v>0.3</v>
      </c>
      <c r="N5">
        <f t="shared" si="1"/>
        <v>11.05</v>
      </c>
      <c r="O5">
        <f t="shared" si="1"/>
        <v>23.5</v>
      </c>
      <c r="P5">
        <f t="shared" si="1"/>
        <v>14.85</v>
      </c>
      <c r="Q5">
        <f t="shared" si="1"/>
        <v>0.35</v>
      </c>
      <c r="R5">
        <f t="shared" si="1"/>
        <v>2.7</v>
      </c>
      <c r="S5">
        <f t="shared" si="1"/>
        <v>3.15</v>
      </c>
      <c r="T5">
        <f t="shared" si="1"/>
        <v>7.55</v>
      </c>
    </row>
    <row r="6" spans="1:20" x14ac:dyDescent="0.2">
      <c r="A6" t="s">
        <v>24</v>
      </c>
      <c r="B6">
        <f>B5*0.2</f>
        <v>5.5</v>
      </c>
      <c r="C6">
        <f>C5*0.2</f>
        <v>3.98</v>
      </c>
      <c r="D6">
        <f t="shared" ref="D6:J6" si="2">D5*0.2</f>
        <v>0.19</v>
      </c>
      <c r="E6">
        <f t="shared" si="2"/>
        <v>1.29</v>
      </c>
      <c r="F6">
        <f t="shared" si="2"/>
        <v>0.72000000000000008</v>
      </c>
      <c r="G6">
        <f t="shared" si="2"/>
        <v>0.51</v>
      </c>
      <c r="H6">
        <f>H5*0.2</f>
        <v>0.33</v>
      </c>
      <c r="I6">
        <f t="shared" si="2"/>
        <v>0.57000000000000006</v>
      </c>
      <c r="J6">
        <f t="shared" si="2"/>
        <v>1.21</v>
      </c>
      <c r="L6">
        <f t="shared" ref="L6:T6" si="3">L5*0.2</f>
        <v>4.34</v>
      </c>
      <c r="M6">
        <f t="shared" si="3"/>
        <v>0.06</v>
      </c>
      <c r="N6">
        <f t="shared" si="3"/>
        <v>2.2100000000000004</v>
      </c>
      <c r="O6">
        <f t="shared" si="3"/>
        <v>4.7</v>
      </c>
      <c r="P6">
        <f t="shared" si="3"/>
        <v>2.97</v>
      </c>
      <c r="Q6">
        <f t="shared" si="3"/>
        <v>6.9999999999999993E-2</v>
      </c>
      <c r="R6">
        <f t="shared" si="3"/>
        <v>0.54</v>
      </c>
      <c r="S6">
        <f t="shared" si="3"/>
        <v>0.63</v>
      </c>
      <c r="T6">
        <f t="shared" si="3"/>
        <v>1.51</v>
      </c>
    </row>
    <row r="7" spans="1:20" s="18" customFormat="1" ht="25.5" x14ac:dyDescent="0.2">
      <c r="A7" s="19" t="s">
        <v>50</v>
      </c>
      <c r="B7" s="18">
        <f>B5+B6</f>
        <v>33</v>
      </c>
      <c r="C7" s="18">
        <f>C5+C6</f>
        <v>23.88</v>
      </c>
      <c r="D7" s="18">
        <f t="shared" ref="D7:J7" si="4">D5+D6</f>
        <v>1.1399999999999999</v>
      </c>
      <c r="E7" s="18">
        <f t="shared" si="4"/>
        <v>7.74</v>
      </c>
      <c r="F7" s="18">
        <f t="shared" si="4"/>
        <v>4.32</v>
      </c>
      <c r="G7" s="18">
        <f t="shared" si="4"/>
        <v>3.0599999999999996</v>
      </c>
      <c r="H7" s="18">
        <f>H5+H6</f>
        <v>1.98</v>
      </c>
      <c r="I7" s="18">
        <f t="shared" si="4"/>
        <v>3.42</v>
      </c>
      <c r="J7" s="18">
        <f t="shared" si="4"/>
        <v>7.26</v>
      </c>
      <c r="L7" s="18">
        <f t="shared" ref="L7:T7" si="5">L5+L6</f>
        <v>26.04</v>
      </c>
      <c r="M7" s="18">
        <f t="shared" si="5"/>
        <v>0.36</v>
      </c>
      <c r="N7" s="18">
        <f t="shared" si="5"/>
        <v>13.260000000000002</v>
      </c>
      <c r="O7" s="18">
        <f t="shared" si="5"/>
        <v>28.2</v>
      </c>
      <c r="P7" s="18">
        <f t="shared" si="5"/>
        <v>17.82</v>
      </c>
      <c r="Q7" s="18">
        <f t="shared" si="5"/>
        <v>0.42</v>
      </c>
      <c r="R7" s="18">
        <f t="shared" si="5"/>
        <v>3.24</v>
      </c>
      <c r="S7" s="18">
        <f t="shared" si="5"/>
        <v>3.78</v>
      </c>
      <c r="T7" s="18">
        <f t="shared" si="5"/>
        <v>9.06</v>
      </c>
    </row>
    <row r="9" spans="1:20" x14ac:dyDescent="0.2">
      <c r="A9" s="21" t="s">
        <v>25</v>
      </c>
    </row>
    <row r="10" spans="1:20" ht="14.25" x14ac:dyDescent="0.2">
      <c r="A10" s="1" t="s">
        <v>102</v>
      </c>
      <c r="B10" s="46">
        <v>1021</v>
      </c>
      <c r="C10" s="47">
        <v>756</v>
      </c>
      <c r="D10" s="46">
        <v>78</v>
      </c>
      <c r="E10" s="46">
        <v>304</v>
      </c>
      <c r="F10" s="44">
        <v>146</v>
      </c>
      <c r="G10" s="44">
        <v>29</v>
      </c>
      <c r="H10" s="46">
        <v>28</v>
      </c>
      <c r="I10" s="44">
        <v>41</v>
      </c>
      <c r="J10" s="44">
        <v>48</v>
      </c>
      <c r="L10" s="46">
        <v>445</v>
      </c>
      <c r="M10" s="46">
        <v>25</v>
      </c>
      <c r="N10" s="46">
        <v>251</v>
      </c>
      <c r="O10" s="46">
        <v>564</v>
      </c>
      <c r="P10" s="46">
        <v>310</v>
      </c>
      <c r="Q10" s="46">
        <v>33</v>
      </c>
      <c r="R10" s="46">
        <v>84</v>
      </c>
      <c r="S10" s="46">
        <v>175</v>
      </c>
      <c r="T10" s="46">
        <v>725</v>
      </c>
    </row>
    <row r="11" spans="1:20" s="55" customFormat="1" x14ac:dyDescent="0.2">
      <c r="A11" s="55" t="s">
        <v>26</v>
      </c>
      <c r="B11" s="79">
        <v>10</v>
      </c>
      <c r="C11" s="79">
        <v>10</v>
      </c>
      <c r="D11" s="79">
        <v>10</v>
      </c>
      <c r="E11" s="79">
        <v>10</v>
      </c>
      <c r="F11" s="79">
        <v>10</v>
      </c>
      <c r="G11" s="79">
        <v>10</v>
      </c>
      <c r="H11" s="79">
        <v>10</v>
      </c>
      <c r="I11" s="79">
        <v>10</v>
      </c>
      <c r="J11" s="79">
        <v>10</v>
      </c>
      <c r="K11" s="79"/>
      <c r="L11" s="79">
        <v>10</v>
      </c>
      <c r="M11" s="79">
        <v>10</v>
      </c>
      <c r="N11" s="79">
        <v>10</v>
      </c>
      <c r="O11" s="79">
        <v>10</v>
      </c>
      <c r="P11" s="79">
        <v>10</v>
      </c>
      <c r="Q11" s="79">
        <v>10</v>
      </c>
      <c r="R11" s="79">
        <v>10</v>
      </c>
      <c r="S11" s="79">
        <v>10</v>
      </c>
      <c r="T11" s="79">
        <v>10</v>
      </c>
    </row>
    <row r="12" spans="1:20" x14ac:dyDescent="0.2">
      <c r="A12" s="1" t="s">
        <v>23</v>
      </c>
      <c r="B12" s="23">
        <f>B10/B11</f>
        <v>102.1</v>
      </c>
      <c r="C12" s="23">
        <f>C10/C11</f>
        <v>75.599999999999994</v>
      </c>
      <c r="D12" s="23">
        <f t="shared" ref="D12:J12" si="6">D10/D11</f>
        <v>7.8</v>
      </c>
      <c r="E12" s="23">
        <f t="shared" si="6"/>
        <v>30.4</v>
      </c>
      <c r="F12" s="23">
        <f t="shared" si="6"/>
        <v>14.6</v>
      </c>
      <c r="G12" s="23">
        <f t="shared" si="6"/>
        <v>2.9</v>
      </c>
      <c r="H12" s="23">
        <f>H10/H11</f>
        <v>2.8</v>
      </c>
      <c r="I12" s="23">
        <f>I10/I11</f>
        <v>4.0999999999999996</v>
      </c>
      <c r="J12" s="23">
        <f t="shared" si="6"/>
        <v>4.8</v>
      </c>
      <c r="L12" s="23">
        <f t="shared" ref="L12:T12" si="7">L10/L11</f>
        <v>44.5</v>
      </c>
      <c r="M12" s="23">
        <f t="shared" si="7"/>
        <v>2.5</v>
      </c>
      <c r="N12" s="23">
        <f t="shared" si="7"/>
        <v>25.1</v>
      </c>
      <c r="O12" s="23">
        <f t="shared" si="7"/>
        <v>56.4</v>
      </c>
      <c r="P12" s="23">
        <f t="shared" si="7"/>
        <v>31</v>
      </c>
      <c r="Q12" s="23">
        <f t="shared" si="7"/>
        <v>3.3</v>
      </c>
      <c r="R12" s="23">
        <f t="shared" si="7"/>
        <v>8.4</v>
      </c>
      <c r="S12" s="23">
        <f t="shared" si="7"/>
        <v>17.5</v>
      </c>
      <c r="T12" s="23">
        <f t="shared" si="7"/>
        <v>72.5</v>
      </c>
    </row>
    <row r="13" spans="1:20" x14ac:dyDescent="0.2">
      <c r="A13" s="1" t="s">
        <v>24</v>
      </c>
      <c r="B13" s="23">
        <f>B12*0.2</f>
        <v>20.420000000000002</v>
      </c>
      <c r="C13" s="23">
        <f>C12*0.2</f>
        <v>15.12</v>
      </c>
      <c r="D13" s="23">
        <f t="shared" ref="D13:J13" si="8">D12*0.2</f>
        <v>1.56</v>
      </c>
      <c r="E13" s="23">
        <f t="shared" si="8"/>
        <v>6.08</v>
      </c>
      <c r="F13" s="23">
        <f t="shared" si="8"/>
        <v>2.92</v>
      </c>
      <c r="G13" s="23">
        <f t="shared" si="8"/>
        <v>0.57999999999999996</v>
      </c>
      <c r="H13" s="23">
        <f>H12*0.2</f>
        <v>0.55999999999999994</v>
      </c>
      <c r="I13" s="23">
        <f t="shared" si="8"/>
        <v>0.82</v>
      </c>
      <c r="J13" s="23">
        <f t="shared" si="8"/>
        <v>0.96</v>
      </c>
      <c r="L13" s="23">
        <f t="shared" ref="L13:T13" si="9">L12*0.2</f>
        <v>8.9</v>
      </c>
      <c r="M13" s="23">
        <f t="shared" si="9"/>
        <v>0.5</v>
      </c>
      <c r="N13" s="23">
        <f t="shared" si="9"/>
        <v>5.0200000000000005</v>
      </c>
      <c r="O13" s="23">
        <f t="shared" si="9"/>
        <v>11.280000000000001</v>
      </c>
      <c r="P13" s="23">
        <f t="shared" si="9"/>
        <v>6.2</v>
      </c>
      <c r="Q13" s="23">
        <f t="shared" si="9"/>
        <v>0.66</v>
      </c>
      <c r="R13" s="23">
        <f t="shared" si="9"/>
        <v>1.6800000000000002</v>
      </c>
      <c r="S13" s="23">
        <f t="shared" si="9"/>
        <v>3.5</v>
      </c>
      <c r="T13" s="23">
        <f t="shared" si="9"/>
        <v>14.5</v>
      </c>
    </row>
    <row r="14" spans="1:20" s="18" customFormat="1" ht="25.5" x14ac:dyDescent="0.2">
      <c r="A14" s="19" t="s">
        <v>50</v>
      </c>
      <c r="B14" s="18">
        <f>B12+B13</f>
        <v>122.52</v>
      </c>
      <c r="C14" s="18">
        <f>C12+C13</f>
        <v>90.72</v>
      </c>
      <c r="D14" s="18">
        <f t="shared" ref="D14:J14" si="10">D12+D13</f>
        <v>9.36</v>
      </c>
      <c r="E14" s="18">
        <f t="shared" si="10"/>
        <v>36.479999999999997</v>
      </c>
      <c r="F14" s="18">
        <f t="shared" si="10"/>
        <v>17.52</v>
      </c>
      <c r="G14" s="18">
        <f t="shared" si="10"/>
        <v>3.48</v>
      </c>
      <c r="H14" s="18">
        <f>H12+H13</f>
        <v>3.36</v>
      </c>
      <c r="I14" s="18">
        <f t="shared" si="10"/>
        <v>4.92</v>
      </c>
      <c r="J14" s="18">
        <f t="shared" si="10"/>
        <v>5.76</v>
      </c>
      <c r="L14" s="18">
        <f t="shared" ref="L14:T14" si="11">L12+L13</f>
        <v>53.4</v>
      </c>
      <c r="M14" s="18">
        <f t="shared" si="11"/>
        <v>3</v>
      </c>
      <c r="N14" s="18">
        <f t="shared" si="11"/>
        <v>30.12</v>
      </c>
      <c r="O14" s="18">
        <f t="shared" si="11"/>
        <v>67.680000000000007</v>
      </c>
      <c r="P14" s="18">
        <f t="shared" si="11"/>
        <v>37.200000000000003</v>
      </c>
      <c r="Q14" s="18">
        <f t="shared" si="11"/>
        <v>3.96</v>
      </c>
      <c r="R14" s="18">
        <f t="shared" si="11"/>
        <v>10.08</v>
      </c>
      <c r="S14" s="18">
        <f t="shared" si="11"/>
        <v>21</v>
      </c>
      <c r="T14" s="18">
        <f t="shared" si="11"/>
        <v>87</v>
      </c>
    </row>
    <row r="16" spans="1:20" x14ac:dyDescent="0.2">
      <c r="A16" t="s">
        <v>297</v>
      </c>
    </row>
    <row r="18" spans="1:21" s="26" customFormat="1" ht="30" x14ac:dyDescent="0.25">
      <c r="A18" s="25" t="s">
        <v>293</v>
      </c>
      <c r="B18" s="27">
        <f>B14+B7</f>
        <v>155.51999999999998</v>
      </c>
      <c r="C18" s="27">
        <f t="shared" ref="C18:J18" si="12">C14+C7</f>
        <v>114.6</v>
      </c>
      <c r="D18" s="27">
        <f t="shared" si="12"/>
        <v>10.5</v>
      </c>
      <c r="E18" s="27">
        <f t="shared" si="12"/>
        <v>44.22</v>
      </c>
      <c r="F18" s="27">
        <f t="shared" si="12"/>
        <v>21.84</v>
      </c>
      <c r="G18" s="27">
        <f t="shared" si="12"/>
        <v>6.5399999999999991</v>
      </c>
      <c r="H18" s="27">
        <f t="shared" si="12"/>
        <v>5.34</v>
      </c>
      <c r="I18" s="27">
        <f t="shared" si="12"/>
        <v>8.34</v>
      </c>
      <c r="J18" s="27">
        <f t="shared" si="12"/>
        <v>13.02</v>
      </c>
      <c r="K18" s="81">
        <f t="shared" ref="K18:K21" si="13">SUM(B18:J18)</f>
        <v>379.91999999999996</v>
      </c>
      <c r="L18" s="27">
        <f>L14+L7</f>
        <v>79.44</v>
      </c>
      <c r="M18" s="27">
        <f t="shared" ref="M18:T18" si="14">M14+M7</f>
        <v>3.36</v>
      </c>
      <c r="N18" s="27">
        <f t="shared" si="14"/>
        <v>43.38</v>
      </c>
      <c r="O18" s="27">
        <f t="shared" si="14"/>
        <v>95.88000000000001</v>
      </c>
      <c r="P18" s="27">
        <f t="shared" si="14"/>
        <v>55.02</v>
      </c>
      <c r="Q18" s="27">
        <f t="shared" si="14"/>
        <v>4.38</v>
      </c>
      <c r="R18" s="27">
        <f t="shared" si="14"/>
        <v>13.32</v>
      </c>
      <c r="S18" s="27">
        <f t="shared" si="14"/>
        <v>24.78</v>
      </c>
      <c r="T18" s="27">
        <f t="shared" si="14"/>
        <v>96.06</v>
      </c>
      <c r="U18" s="81">
        <f>SUM(L18:T18)</f>
        <v>415.61999999999995</v>
      </c>
    </row>
    <row r="19" spans="1:21" s="26" customFormat="1" ht="43.5" hidden="1" x14ac:dyDescent="0.25">
      <c r="A19" s="89" t="s">
        <v>52</v>
      </c>
      <c r="B19" s="90">
        <f>B18*1.1</f>
        <v>171.072</v>
      </c>
      <c r="C19" s="90">
        <f>C18*1.1</f>
        <v>126.06</v>
      </c>
      <c r="D19" s="90">
        <f>D18*1.1</f>
        <v>11.55</v>
      </c>
      <c r="E19" s="90">
        <f t="shared" ref="E19:J19" si="15">E18*1.1</f>
        <v>48.642000000000003</v>
      </c>
      <c r="F19" s="90">
        <f t="shared" si="15"/>
        <v>24.024000000000001</v>
      </c>
      <c r="G19" s="90">
        <f t="shared" si="15"/>
        <v>7.194</v>
      </c>
      <c r="H19" s="90">
        <f>H18*1.1</f>
        <v>5.8740000000000006</v>
      </c>
      <c r="I19" s="90">
        <f t="shared" si="15"/>
        <v>9.1740000000000013</v>
      </c>
      <c r="J19" s="90">
        <f t="shared" si="15"/>
        <v>14.322000000000001</v>
      </c>
      <c r="K19" s="81">
        <f t="shared" si="13"/>
        <v>417.91200000000003</v>
      </c>
      <c r="L19" s="90">
        <f>L18*1.1</f>
        <v>87.384</v>
      </c>
      <c r="M19" s="90">
        <f t="shared" ref="M19:T19" si="16">M18*1.1</f>
        <v>3.6960000000000002</v>
      </c>
      <c r="N19" s="90">
        <f t="shared" si="16"/>
        <v>47.718000000000004</v>
      </c>
      <c r="O19" s="90">
        <f t="shared" si="16"/>
        <v>105.46800000000002</v>
      </c>
      <c r="P19" s="90">
        <f t="shared" si="16"/>
        <v>60.522000000000006</v>
      </c>
      <c r="Q19" s="90">
        <f t="shared" si="16"/>
        <v>4.8180000000000005</v>
      </c>
      <c r="R19" s="90">
        <f t="shared" si="16"/>
        <v>14.652000000000001</v>
      </c>
      <c r="S19" s="90">
        <f t="shared" si="16"/>
        <v>27.258000000000003</v>
      </c>
      <c r="T19" s="90">
        <f t="shared" si="16"/>
        <v>105.66600000000001</v>
      </c>
      <c r="U19" s="81">
        <f t="shared" ref="U19:U27" si="17">SUM(L19:T19)</f>
        <v>457.18199999999996</v>
      </c>
    </row>
    <row r="20" spans="1:21" s="26" customFormat="1" ht="15" x14ac:dyDescent="0.25">
      <c r="A20" s="31"/>
      <c r="U20" s="81"/>
    </row>
    <row r="21" spans="1:21" s="26" customFormat="1" ht="15" x14ac:dyDescent="0.25">
      <c r="A21" s="31" t="s">
        <v>51</v>
      </c>
      <c r="B21" s="46">
        <v>17</v>
      </c>
      <c r="C21" s="46">
        <v>9</v>
      </c>
      <c r="D21" s="46">
        <v>5</v>
      </c>
      <c r="E21" s="46">
        <v>8</v>
      </c>
      <c r="F21" s="46">
        <v>1</v>
      </c>
      <c r="G21" s="46">
        <v>7</v>
      </c>
      <c r="H21" s="46">
        <v>3</v>
      </c>
      <c r="I21" s="46">
        <v>2</v>
      </c>
      <c r="J21" s="46">
        <v>4</v>
      </c>
      <c r="K21" s="81">
        <f t="shared" si="13"/>
        <v>56</v>
      </c>
      <c r="L21" s="46">
        <v>3</v>
      </c>
      <c r="M21" s="46">
        <v>2</v>
      </c>
      <c r="N21" s="46">
        <v>32</v>
      </c>
      <c r="O21" s="46">
        <v>40</v>
      </c>
      <c r="P21" s="46">
        <v>19</v>
      </c>
      <c r="Q21" s="46">
        <v>4</v>
      </c>
      <c r="R21" s="46">
        <v>4</v>
      </c>
      <c r="S21" s="46">
        <v>12</v>
      </c>
      <c r="T21" s="46">
        <v>5</v>
      </c>
      <c r="U21" s="81">
        <f t="shared" si="17"/>
        <v>121</v>
      </c>
    </row>
    <row r="22" spans="1:21" s="26" customFormat="1" ht="15" x14ac:dyDescent="0.25">
      <c r="A22" s="31"/>
      <c r="U22" s="81"/>
    </row>
    <row r="23" spans="1:21" s="18" customFormat="1" ht="25.5" x14ac:dyDescent="0.2">
      <c r="A23" s="68" t="s">
        <v>30</v>
      </c>
      <c r="B23" s="81">
        <f>B18/40</f>
        <v>3.8879999999999995</v>
      </c>
      <c r="C23" s="81">
        <f t="shared" ref="C23:T23" si="18">C18/40</f>
        <v>2.8649999999999998</v>
      </c>
      <c r="D23" s="81">
        <f>D18/40</f>
        <v>0.26250000000000001</v>
      </c>
      <c r="E23" s="81">
        <f t="shared" si="18"/>
        <v>1.1054999999999999</v>
      </c>
      <c r="F23" s="81">
        <f t="shared" si="18"/>
        <v>0.54600000000000004</v>
      </c>
      <c r="G23" s="81">
        <f t="shared" si="18"/>
        <v>0.16349999999999998</v>
      </c>
      <c r="H23" s="81">
        <f t="shared" si="18"/>
        <v>0.13350000000000001</v>
      </c>
      <c r="I23" s="81">
        <f t="shared" si="18"/>
        <v>0.20849999999999999</v>
      </c>
      <c r="J23" s="81">
        <f t="shared" si="18"/>
        <v>0.32550000000000001</v>
      </c>
      <c r="K23" s="81">
        <f>SUM(B23:J23)</f>
        <v>9.4979999999999976</v>
      </c>
      <c r="L23" s="81">
        <f t="shared" si="18"/>
        <v>1.986</v>
      </c>
      <c r="M23" s="81">
        <f t="shared" si="18"/>
        <v>8.3999999999999991E-2</v>
      </c>
      <c r="N23" s="81">
        <f t="shared" si="18"/>
        <v>1.0845</v>
      </c>
      <c r="O23" s="81">
        <f t="shared" si="18"/>
        <v>2.3970000000000002</v>
      </c>
      <c r="P23" s="81">
        <f t="shared" si="18"/>
        <v>1.3755000000000002</v>
      </c>
      <c r="Q23" s="81">
        <f t="shared" si="18"/>
        <v>0.1095</v>
      </c>
      <c r="R23" s="81">
        <f t="shared" si="18"/>
        <v>0.33300000000000002</v>
      </c>
      <c r="S23" s="81">
        <f t="shared" si="18"/>
        <v>0.61950000000000005</v>
      </c>
      <c r="T23" s="81">
        <f t="shared" si="18"/>
        <v>2.4015</v>
      </c>
      <c r="U23" s="81">
        <f t="shared" si="17"/>
        <v>10.390499999999999</v>
      </c>
    </row>
    <row r="24" spans="1:21" ht="31.5" customHeight="1" x14ac:dyDescent="0.2">
      <c r="A24" s="68" t="s">
        <v>324</v>
      </c>
      <c r="B24" s="81">
        <v>2.4312499999999999</v>
      </c>
      <c r="C24" s="81">
        <v>1.75</v>
      </c>
      <c r="D24" s="81">
        <v>1.34375</v>
      </c>
      <c r="E24" s="81">
        <v>2.0750000000000002</v>
      </c>
      <c r="F24" s="81">
        <v>1.0687500000000001</v>
      </c>
      <c r="G24" s="81">
        <v>1.48125</v>
      </c>
      <c r="H24" s="81">
        <v>1.46875</v>
      </c>
      <c r="I24" s="81">
        <v>1.1375</v>
      </c>
      <c r="J24" s="81">
        <v>1.2749999999999999</v>
      </c>
      <c r="K24" s="81">
        <f>SUM(B24:J24)</f>
        <v>14.03125</v>
      </c>
      <c r="L24" s="81">
        <v>2.4937499999999999</v>
      </c>
      <c r="M24" s="81">
        <v>1.1375</v>
      </c>
      <c r="N24" s="81">
        <v>3.2</v>
      </c>
      <c r="O24" s="81">
        <v>3.8187500000000001</v>
      </c>
      <c r="P24" s="81">
        <v>2.4375</v>
      </c>
      <c r="Q24" s="81">
        <v>1.40625</v>
      </c>
      <c r="R24" s="81">
        <v>1.2749999999999999</v>
      </c>
      <c r="S24" s="81">
        <v>1.95625</v>
      </c>
      <c r="T24" s="81">
        <v>1.8687499999999999</v>
      </c>
      <c r="U24" s="81">
        <f t="shared" si="17"/>
        <v>19.59375</v>
      </c>
    </row>
    <row r="25" spans="1:21" ht="30" customHeight="1" x14ac:dyDescent="0.2">
      <c r="A25" s="101" t="s">
        <v>325</v>
      </c>
      <c r="B25">
        <f>B24+B23</f>
        <v>6.3192499999999994</v>
      </c>
      <c r="C25">
        <f t="shared" ref="C25:T25" si="19">C24+C23</f>
        <v>4.6150000000000002</v>
      </c>
      <c r="D25">
        <f t="shared" si="19"/>
        <v>1.60625</v>
      </c>
      <c r="E25">
        <f t="shared" si="19"/>
        <v>3.1805000000000003</v>
      </c>
      <c r="F25">
        <f t="shared" si="19"/>
        <v>1.6147500000000001</v>
      </c>
      <c r="G25">
        <f t="shared" si="19"/>
        <v>1.6447499999999999</v>
      </c>
      <c r="H25">
        <f t="shared" si="19"/>
        <v>1.60225</v>
      </c>
      <c r="I25">
        <f t="shared" si="19"/>
        <v>1.3459999999999999</v>
      </c>
      <c r="J25">
        <f t="shared" si="19"/>
        <v>1.6004999999999998</v>
      </c>
      <c r="K25" s="81">
        <f>SUM(B25:J25)</f>
        <v>23.529249999999998</v>
      </c>
      <c r="L25">
        <f t="shared" si="19"/>
        <v>4.4797500000000001</v>
      </c>
      <c r="M25">
        <f t="shared" si="19"/>
        <v>1.2215</v>
      </c>
      <c r="N25">
        <f t="shared" si="19"/>
        <v>4.2845000000000004</v>
      </c>
      <c r="O25">
        <f t="shared" si="19"/>
        <v>6.2157499999999999</v>
      </c>
      <c r="P25">
        <f t="shared" si="19"/>
        <v>3.8130000000000002</v>
      </c>
      <c r="Q25">
        <f t="shared" si="19"/>
        <v>1.5157499999999999</v>
      </c>
      <c r="R25">
        <f t="shared" si="19"/>
        <v>1.6079999999999999</v>
      </c>
      <c r="S25">
        <f t="shared" si="19"/>
        <v>2.5757500000000002</v>
      </c>
      <c r="T25">
        <f t="shared" si="19"/>
        <v>4.2702499999999999</v>
      </c>
      <c r="U25" s="81">
        <f t="shared" si="17"/>
        <v>29.984249999999999</v>
      </c>
    </row>
    <row r="26" spans="1:21" x14ac:dyDescent="0.2">
      <c r="A26" s="20" t="s">
        <v>53</v>
      </c>
      <c r="B26" s="23">
        <f>B25*40</f>
        <v>252.76999999999998</v>
      </c>
      <c r="C26" s="23">
        <f t="shared" ref="C26:T26" si="20">C25*40</f>
        <v>184.60000000000002</v>
      </c>
      <c r="D26" s="23">
        <f t="shared" si="20"/>
        <v>64.25</v>
      </c>
      <c r="E26" s="23">
        <f t="shared" si="20"/>
        <v>127.22000000000001</v>
      </c>
      <c r="F26" s="23">
        <f t="shared" si="20"/>
        <v>64.59</v>
      </c>
      <c r="G26" s="23">
        <f t="shared" si="20"/>
        <v>65.789999999999992</v>
      </c>
      <c r="H26" s="23">
        <f t="shared" si="20"/>
        <v>64.09</v>
      </c>
      <c r="I26" s="23">
        <f t="shared" si="20"/>
        <v>53.839999999999996</v>
      </c>
      <c r="J26" s="23">
        <f t="shared" si="20"/>
        <v>64.02</v>
      </c>
      <c r="K26" s="81">
        <f t="shared" ref="K26:K28" si="21">SUM(B26:J26)</f>
        <v>941.17000000000007</v>
      </c>
      <c r="L26" s="23">
        <f t="shared" si="20"/>
        <v>179.19</v>
      </c>
      <c r="M26" s="23">
        <f t="shared" si="20"/>
        <v>48.86</v>
      </c>
      <c r="N26" s="23">
        <f t="shared" si="20"/>
        <v>171.38000000000002</v>
      </c>
      <c r="O26" s="23">
        <f t="shared" si="20"/>
        <v>248.63</v>
      </c>
      <c r="P26" s="23">
        <f t="shared" si="20"/>
        <v>152.52000000000001</v>
      </c>
      <c r="Q26" s="23">
        <f t="shared" si="20"/>
        <v>60.629999999999995</v>
      </c>
      <c r="R26" s="23">
        <f t="shared" si="20"/>
        <v>64.319999999999993</v>
      </c>
      <c r="S26" s="23">
        <f t="shared" si="20"/>
        <v>103.03</v>
      </c>
      <c r="T26" s="23">
        <f t="shared" si="20"/>
        <v>170.81</v>
      </c>
      <c r="U26" s="81">
        <f t="shared" si="17"/>
        <v>1199.3699999999999</v>
      </c>
    </row>
    <row r="27" spans="1:21" ht="25.5" x14ac:dyDescent="0.2">
      <c r="A27" s="20" t="s">
        <v>54</v>
      </c>
      <c r="B27" s="23">
        <f>ROUNDUP(B26,0)</f>
        <v>253</v>
      </c>
      <c r="C27" s="23">
        <f t="shared" ref="C27:T27" si="22">ROUNDUP(C26,0)</f>
        <v>185</v>
      </c>
      <c r="D27" s="23">
        <f t="shared" si="22"/>
        <v>65</v>
      </c>
      <c r="E27" s="23">
        <f t="shared" si="22"/>
        <v>128</v>
      </c>
      <c r="F27" s="23">
        <f t="shared" si="22"/>
        <v>65</v>
      </c>
      <c r="G27" s="23">
        <f t="shared" si="22"/>
        <v>66</v>
      </c>
      <c r="H27" s="23">
        <f t="shared" si="22"/>
        <v>65</v>
      </c>
      <c r="I27" s="23">
        <f t="shared" si="22"/>
        <v>54</v>
      </c>
      <c r="J27" s="23">
        <f t="shared" si="22"/>
        <v>65</v>
      </c>
      <c r="K27" s="81">
        <f t="shared" si="21"/>
        <v>946</v>
      </c>
      <c r="L27" s="23">
        <f t="shared" si="22"/>
        <v>180</v>
      </c>
      <c r="M27" s="23">
        <f t="shared" si="22"/>
        <v>49</v>
      </c>
      <c r="N27" s="23">
        <f t="shared" si="22"/>
        <v>172</v>
      </c>
      <c r="O27" s="23">
        <f t="shared" si="22"/>
        <v>249</v>
      </c>
      <c r="P27" s="23">
        <f t="shared" si="22"/>
        <v>153</v>
      </c>
      <c r="Q27" s="23">
        <f t="shared" si="22"/>
        <v>61</v>
      </c>
      <c r="R27" s="23">
        <f t="shared" si="22"/>
        <v>65</v>
      </c>
      <c r="S27" s="23">
        <f t="shared" si="22"/>
        <v>104</v>
      </c>
      <c r="T27" s="23">
        <f t="shared" si="22"/>
        <v>171</v>
      </c>
      <c r="U27" s="81">
        <f t="shared" si="17"/>
        <v>1204</v>
      </c>
    </row>
    <row r="28" spans="1:21" s="32" customFormat="1" ht="26.25" x14ac:dyDescent="0.25">
      <c r="A28" s="20" t="s">
        <v>326</v>
      </c>
      <c r="B28" s="23">
        <f>ROUNDUP(B25,0)</f>
        <v>7</v>
      </c>
      <c r="C28" s="23">
        <f t="shared" ref="C28:T28" si="23">ROUNDUP(C25,0)</f>
        <v>5</v>
      </c>
      <c r="D28" s="23">
        <f t="shared" si="23"/>
        <v>2</v>
      </c>
      <c r="E28" s="23">
        <f t="shared" si="23"/>
        <v>4</v>
      </c>
      <c r="F28" s="23">
        <f t="shared" si="23"/>
        <v>2</v>
      </c>
      <c r="G28" s="23">
        <f t="shared" si="23"/>
        <v>2</v>
      </c>
      <c r="H28" s="23">
        <f t="shared" si="23"/>
        <v>2</v>
      </c>
      <c r="I28" s="23">
        <f t="shared" si="23"/>
        <v>2</v>
      </c>
      <c r="J28" s="23">
        <f>ROUNDUP(J25,0)</f>
        <v>2</v>
      </c>
      <c r="K28" s="81">
        <f t="shared" si="21"/>
        <v>28</v>
      </c>
      <c r="L28" s="23">
        <f t="shared" si="23"/>
        <v>5</v>
      </c>
      <c r="M28" s="23">
        <f t="shared" si="23"/>
        <v>2</v>
      </c>
      <c r="N28" s="23">
        <f t="shared" si="23"/>
        <v>5</v>
      </c>
      <c r="O28" s="23">
        <f t="shared" si="23"/>
        <v>7</v>
      </c>
      <c r="P28" s="23">
        <f t="shared" si="23"/>
        <v>4</v>
      </c>
      <c r="Q28" s="23">
        <f t="shared" si="23"/>
        <v>2</v>
      </c>
      <c r="R28" s="23">
        <f t="shared" si="23"/>
        <v>2</v>
      </c>
      <c r="S28" s="23">
        <f t="shared" si="23"/>
        <v>3</v>
      </c>
      <c r="T28" s="23">
        <f t="shared" si="23"/>
        <v>5</v>
      </c>
      <c r="U28" s="81">
        <f>SUM(L28:T28)</f>
        <v>35</v>
      </c>
    </row>
    <row r="29" spans="1:21" x14ac:dyDescent="0.2">
      <c r="U29" s="21"/>
    </row>
    <row r="33" spans="1:1" x14ac:dyDescent="0.2">
      <c r="A33" s="1" t="s">
        <v>55</v>
      </c>
    </row>
  </sheetData>
  <pageMargins left="0.75" right="0.75" top="1" bottom="1" header="0.5" footer="0.5"/>
  <pageSetup orientation="portrait" horizontalDpi="1200" verticalDpi="12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U41"/>
  <sheetViews>
    <sheetView zoomScale="110" zoomScaleNormal="110" workbookViewId="0">
      <pane ySplit="1" topLeftCell="A2" activePane="bottomLeft" state="frozen"/>
      <selection pane="bottomLeft" activeCell="D47" sqref="D47"/>
    </sheetView>
  </sheetViews>
  <sheetFormatPr defaultRowHeight="12.75" x14ac:dyDescent="0.2"/>
  <cols>
    <col min="1" max="1" width="27.7109375" customWidth="1"/>
    <col min="2" max="7" width="12.5703125" customWidth="1"/>
    <col min="8" max="8" width="11.28515625" customWidth="1"/>
    <col min="9" max="10" width="12.5703125" customWidth="1"/>
    <col min="12" max="12" width="12.5703125" customWidth="1"/>
    <col min="13" max="13" width="13.85546875" customWidth="1"/>
    <col min="14" max="14" width="11" customWidth="1"/>
    <col min="18" max="18" width="10.7109375" customWidth="1"/>
    <col min="24" max="24" width="23.42578125" customWidth="1"/>
    <col min="25" max="25" width="30.140625" customWidth="1"/>
    <col min="26" max="26" width="12.42578125" customWidth="1"/>
  </cols>
  <sheetData>
    <row r="1" spans="1:20" s="18" customFormat="1" x14ac:dyDescent="0.2">
      <c r="A1" s="43" t="s">
        <v>29</v>
      </c>
      <c r="B1" s="21" t="s">
        <v>57</v>
      </c>
      <c r="C1" s="21" t="s">
        <v>61</v>
      </c>
      <c r="D1" s="21" t="s">
        <v>100</v>
      </c>
      <c r="E1" s="21" t="s">
        <v>104</v>
      </c>
      <c r="F1" s="21" t="s">
        <v>105</v>
      </c>
      <c r="G1" s="21" t="s">
        <v>106</v>
      </c>
      <c r="H1" s="21" t="s">
        <v>111</v>
      </c>
      <c r="I1" s="21" t="s">
        <v>107</v>
      </c>
      <c r="J1" s="21" t="s">
        <v>108</v>
      </c>
      <c r="K1" s="21"/>
      <c r="L1" s="21" t="s">
        <v>65</v>
      </c>
      <c r="M1" s="21" t="s">
        <v>109</v>
      </c>
      <c r="N1" s="21" t="s">
        <v>110</v>
      </c>
      <c r="O1" s="21" t="s">
        <v>60</v>
      </c>
      <c r="P1" s="21" t="s">
        <v>62</v>
      </c>
      <c r="Q1" s="21" t="s">
        <v>112</v>
      </c>
      <c r="R1" s="21" t="s">
        <v>113</v>
      </c>
      <c r="S1" s="21" t="s">
        <v>64</v>
      </c>
      <c r="T1" s="21" t="s">
        <v>63</v>
      </c>
    </row>
    <row r="2" spans="1:20" x14ac:dyDescent="0.2">
      <c r="A2" s="21" t="s">
        <v>22</v>
      </c>
    </row>
    <row r="3" spans="1:20" ht="28.5" customHeight="1" x14ac:dyDescent="0.2">
      <c r="A3" s="20" t="s">
        <v>101</v>
      </c>
      <c r="B3" s="46">
        <v>550</v>
      </c>
      <c r="C3" s="46">
        <v>398</v>
      </c>
      <c r="D3" s="46">
        <v>19</v>
      </c>
      <c r="E3" s="46">
        <v>129</v>
      </c>
      <c r="F3" s="46">
        <v>72</v>
      </c>
      <c r="G3" s="46">
        <v>51</v>
      </c>
      <c r="H3" s="46">
        <v>33</v>
      </c>
      <c r="I3" s="46">
        <v>57</v>
      </c>
      <c r="J3" s="46">
        <v>121</v>
      </c>
      <c r="L3" s="46">
        <v>434</v>
      </c>
      <c r="M3" s="46">
        <v>6</v>
      </c>
      <c r="N3" s="46">
        <v>221</v>
      </c>
      <c r="O3" s="46">
        <v>470</v>
      </c>
      <c r="P3" s="46">
        <v>297</v>
      </c>
      <c r="Q3" s="46">
        <v>7</v>
      </c>
      <c r="R3" s="46">
        <v>54</v>
      </c>
      <c r="S3" s="46">
        <v>63</v>
      </c>
      <c r="T3" s="46">
        <v>151</v>
      </c>
    </row>
    <row r="4" spans="1:20" s="55" customFormat="1" x14ac:dyDescent="0.2">
      <c r="A4" s="80" t="s">
        <v>26</v>
      </c>
      <c r="B4" s="55">
        <v>5</v>
      </c>
      <c r="C4" s="55">
        <v>5</v>
      </c>
      <c r="D4" s="55">
        <v>5</v>
      </c>
      <c r="E4" s="55">
        <v>5</v>
      </c>
      <c r="F4" s="55">
        <v>5</v>
      </c>
      <c r="G4" s="55">
        <v>5</v>
      </c>
      <c r="H4" s="55">
        <v>5</v>
      </c>
      <c r="I4" s="55">
        <v>5</v>
      </c>
      <c r="J4" s="55">
        <v>5</v>
      </c>
      <c r="L4" s="55">
        <v>5</v>
      </c>
      <c r="M4" s="55">
        <v>5</v>
      </c>
      <c r="N4" s="55">
        <v>5</v>
      </c>
      <c r="O4" s="55">
        <v>5</v>
      </c>
      <c r="P4" s="55">
        <v>5</v>
      </c>
      <c r="Q4" s="55">
        <v>5</v>
      </c>
      <c r="R4" s="55">
        <v>5</v>
      </c>
      <c r="S4" s="55">
        <v>5</v>
      </c>
      <c r="T4" s="55">
        <v>5</v>
      </c>
    </row>
    <row r="5" spans="1:20" x14ac:dyDescent="0.2">
      <c r="A5" t="s">
        <v>23</v>
      </c>
      <c r="B5">
        <f t="shared" ref="B5:J5" si="0">B3/B4</f>
        <v>110</v>
      </c>
      <c r="C5">
        <f t="shared" si="0"/>
        <v>79.599999999999994</v>
      </c>
      <c r="D5">
        <f t="shared" si="0"/>
        <v>3.8</v>
      </c>
      <c r="E5">
        <f t="shared" si="0"/>
        <v>25.8</v>
      </c>
      <c r="F5">
        <f t="shared" si="0"/>
        <v>14.4</v>
      </c>
      <c r="G5">
        <f t="shared" si="0"/>
        <v>10.199999999999999</v>
      </c>
      <c r="H5">
        <f t="shared" si="0"/>
        <v>6.6</v>
      </c>
      <c r="I5">
        <f t="shared" si="0"/>
        <v>11.4</v>
      </c>
      <c r="J5">
        <f t="shared" si="0"/>
        <v>24.2</v>
      </c>
      <c r="L5">
        <f t="shared" ref="L5:T5" si="1">L3/L4</f>
        <v>86.8</v>
      </c>
      <c r="M5">
        <f t="shared" si="1"/>
        <v>1.2</v>
      </c>
      <c r="N5">
        <f t="shared" si="1"/>
        <v>44.2</v>
      </c>
      <c r="O5">
        <f t="shared" si="1"/>
        <v>94</v>
      </c>
      <c r="P5">
        <f t="shared" si="1"/>
        <v>59.4</v>
      </c>
      <c r="Q5">
        <f t="shared" si="1"/>
        <v>1.4</v>
      </c>
      <c r="R5">
        <f t="shared" si="1"/>
        <v>10.8</v>
      </c>
      <c r="S5">
        <f t="shared" si="1"/>
        <v>12.6</v>
      </c>
      <c r="T5">
        <f t="shared" si="1"/>
        <v>30.2</v>
      </c>
    </row>
    <row r="6" spans="1:20" x14ac:dyDescent="0.2">
      <c r="A6" t="s">
        <v>24</v>
      </c>
      <c r="B6">
        <f>B5*0.2</f>
        <v>22</v>
      </c>
      <c r="C6">
        <f>C5*0.2</f>
        <v>15.92</v>
      </c>
      <c r="D6">
        <f t="shared" ref="D6:J6" si="2">D5*0.2</f>
        <v>0.76</v>
      </c>
      <c r="E6">
        <f t="shared" si="2"/>
        <v>5.16</v>
      </c>
      <c r="F6">
        <f t="shared" si="2"/>
        <v>2.8800000000000003</v>
      </c>
      <c r="G6">
        <f t="shared" si="2"/>
        <v>2.04</v>
      </c>
      <c r="H6">
        <f>H5*0.2</f>
        <v>1.32</v>
      </c>
      <c r="I6">
        <f t="shared" si="2"/>
        <v>2.2800000000000002</v>
      </c>
      <c r="J6">
        <f t="shared" si="2"/>
        <v>4.84</v>
      </c>
      <c r="L6">
        <f t="shared" ref="L6:T6" si="3">L5*0.2</f>
        <v>17.36</v>
      </c>
      <c r="M6">
        <f t="shared" si="3"/>
        <v>0.24</v>
      </c>
      <c r="N6">
        <f t="shared" si="3"/>
        <v>8.8400000000000016</v>
      </c>
      <c r="O6">
        <f t="shared" si="3"/>
        <v>18.8</v>
      </c>
      <c r="P6">
        <f t="shared" si="3"/>
        <v>11.88</v>
      </c>
      <c r="Q6">
        <f t="shared" si="3"/>
        <v>0.27999999999999997</v>
      </c>
      <c r="R6">
        <f t="shared" si="3"/>
        <v>2.16</v>
      </c>
      <c r="S6">
        <f t="shared" si="3"/>
        <v>2.52</v>
      </c>
      <c r="T6">
        <f t="shared" si="3"/>
        <v>6.04</v>
      </c>
    </row>
    <row r="7" spans="1:20" s="18" customFormat="1" x14ac:dyDescent="0.2">
      <c r="A7" s="19" t="s">
        <v>50</v>
      </c>
      <c r="B7" s="18">
        <f>B5+B6</f>
        <v>132</v>
      </c>
      <c r="C7" s="18">
        <f>C5+C6</f>
        <v>95.52</v>
      </c>
      <c r="D7" s="18">
        <f t="shared" ref="D7:J7" si="4">D5+D6</f>
        <v>4.5599999999999996</v>
      </c>
      <c r="E7" s="18">
        <f t="shared" si="4"/>
        <v>30.96</v>
      </c>
      <c r="F7" s="18">
        <f t="shared" si="4"/>
        <v>17.28</v>
      </c>
      <c r="G7" s="18">
        <f t="shared" si="4"/>
        <v>12.239999999999998</v>
      </c>
      <c r="H7" s="18">
        <f>H5+H6</f>
        <v>7.92</v>
      </c>
      <c r="I7" s="18">
        <f t="shared" si="4"/>
        <v>13.68</v>
      </c>
      <c r="J7" s="18">
        <f t="shared" si="4"/>
        <v>29.04</v>
      </c>
      <c r="L7" s="18">
        <f t="shared" ref="L7:T7" si="5">L5+L6</f>
        <v>104.16</v>
      </c>
      <c r="M7" s="18">
        <f t="shared" si="5"/>
        <v>1.44</v>
      </c>
      <c r="N7" s="18">
        <f t="shared" si="5"/>
        <v>53.040000000000006</v>
      </c>
      <c r="O7" s="18">
        <f t="shared" si="5"/>
        <v>112.8</v>
      </c>
      <c r="P7" s="18">
        <f t="shared" si="5"/>
        <v>71.28</v>
      </c>
      <c r="Q7" s="18">
        <f t="shared" si="5"/>
        <v>1.68</v>
      </c>
      <c r="R7" s="18">
        <f t="shared" si="5"/>
        <v>12.96</v>
      </c>
      <c r="S7" s="18">
        <f t="shared" si="5"/>
        <v>15.12</v>
      </c>
      <c r="T7" s="18">
        <f t="shared" si="5"/>
        <v>36.24</v>
      </c>
    </row>
    <row r="9" spans="1:20" x14ac:dyDescent="0.2">
      <c r="A9" s="21" t="s">
        <v>25</v>
      </c>
    </row>
    <row r="10" spans="1:20" ht="14.25" x14ac:dyDescent="0.2">
      <c r="A10" s="1" t="s">
        <v>102</v>
      </c>
      <c r="B10" s="46">
        <v>1021</v>
      </c>
      <c r="C10" s="47">
        <v>756</v>
      </c>
      <c r="D10" s="46">
        <v>78</v>
      </c>
      <c r="E10" s="46">
        <v>304</v>
      </c>
      <c r="F10" s="44">
        <v>146</v>
      </c>
      <c r="G10" s="44">
        <v>29</v>
      </c>
      <c r="H10" s="46">
        <v>28</v>
      </c>
      <c r="I10" s="44">
        <v>41</v>
      </c>
      <c r="J10" s="44">
        <v>48</v>
      </c>
      <c r="L10" s="46">
        <v>445</v>
      </c>
      <c r="M10" s="46">
        <v>25</v>
      </c>
      <c r="N10" s="46">
        <v>251</v>
      </c>
      <c r="O10" s="46">
        <v>564</v>
      </c>
      <c r="P10" s="46">
        <v>310</v>
      </c>
      <c r="Q10" s="46">
        <v>33</v>
      </c>
      <c r="R10" s="46">
        <v>84</v>
      </c>
      <c r="S10" s="46">
        <v>175</v>
      </c>
      <c r="T10" s="46">
        <v>725</v>
      </c>
    </row>
    <row r="11" spans="1:20" s="55" customFormat="1" x14ac:dyDescent="0.2">
      <c r="A11" s="55" t="s">
        <v>26</v>
      </c>
      <c r="B11" s="79">
        <v>15</v>
      </c>
      <c r="C11" s="79">
        <v>15</v>
      </c>
      <c r="D11" s="79">
        <v>15</v>
      </c>
      <c r="E11" s="79">
        <v>15</v>
      </c>
      <c r="F11" s="79">
        <v>15</v>
      </c>
      <c r="G11" s="79">
        <v>15</v>
      </c>
      <c r="H11" s="79">
        <v>15</v>
      </c>
      <c r="I11" s="79">
        <v>15</v>
      </c>
      <c r="J11" s="79">
        <v>15</v>
      </c>
      <c r="K11" s="79"/>
      <c r="L11" s="79">
        <v>15</v>
      </c>
      <c r="M11" s="79">
        <v>15</v>
      </c>
      <c r="N11" s="79">
        <v>15</v>
      </c>
      <c r="O11" s="79">
        <v>15</v>
      </c>
      <c r="P11" s="79">
        <v>15</v>
      </c>
      <c r="Q11" s="79">
        <v>15</v>
      </c>
      <c r="R11" s="79">
        <v>15</v>
      </c>
      <c r="S11" s="79">
        <v>15</v>
      </c>
      <c r="T11" s="79">
        <v>15</v>
      </c>
    </row>
    <row r="12" spans="1:20" x14ac:dyDescent="0.2">
      <c r="A12" s="1" t="s">
        <v>23</v>
      </c>
      <c r="B12" s="23">
        <f>B10/B11</f>
        <v>68.066666666666663</v>
      </c>
      <c r="C12" s="23">
        <f>C10/C11</f>
        <v>50.4</v>
      </c>
      <c r="D12" s="23">
        <f t="shared" ref="D12:J12" si="6">D10/D11</f>
        <v>5.2</v>
      </c>
      <c r="E12" s="23">
        <f t="shared" si="6"/>
        <v>20.266666666666666</v>
      </c>
      <c r="F12" s="23">
        <f t="shared" si="6"/>
        <v>9.7333333333333325</v>
      </c>
      <c r="G12" s="23">
        <f t="shared" si="6"/>
        <v>1.9333333333333333</v>
      </c>
      <c r="H12" s="23">
        <f>H10/H11</f>
        <v>1.8666666666666667</v>
      </c>
      <c r="I12" s="23">
        <f>I10/I11</f>
        <v>2.7333333333333334</v>
      </c>
      <c r="J12" s="23">
        <f t="shared" si="6"/>
        <v>3.2</v>
      </c>
      <c r="L12" s="23">
        <f t="shared" ref="L12:T12" si="7">L10/L11</f>
        <v>29.666666666666668</v>
      </c>
      <c r="M12" s="23">
        <f t="shared" si="7"/>
        <v>1.6666666666666667</v>
      </c>
      <c r="N12" s="23">
        <f t="shared" si="7"/>
        <v>16.733333333333334</v>
      </c>
      <c r="O12" s="23">
        <f t="shared" si="7"/>
        <v>37.6</v>
      </c>
      <c r="P12" s="23">
        <f t="shared" si="7"/>
        <v>20.666666666666668</v>
      </c>
      <c r="Q12" s="23">
        <f t="shared" si="7"/>
        <v>2.2000000000000002</v>
      </c>
      <c r="R12" s="23">
        <f t="shared" si="7"/>
        <v>5.6</v>
      </c>
      <c r="S12" s="23">
        <f t="shared" si="7"/>
        <v>11.666666666666666</v>
      </c>
      <c r="T12" s="23">
        <f t="shared" si="7"/>
        <v>48.333333333333336</v>
      </c>
    </row>
    <row r="13" spans="1:20" x14ac:dyDescent="0.2">
      <c r="A13" s="1" t="s">
        <v>24</v>
      </c>
      <c r="B13" s="23">
        <f>B12*0.2</f>
        <v>13.613333333333333</v>
      </c>
      <c r="C13" s="23">
        <f>C12*0.2</f>
        <v>10.08</v>
      </c>
      <c r="D13" s="23">
        <f t="shared" ref="D13:J13" si="8">D12*0.2</f>
        <v>1.04</v>
      </c>
      <c r="E13" s="23">
        <f t="shared" si="8"/>
        <v>4.0533333333333337</v>
      </c>
      <c r="F13" s="23">
        <f t="shared" si="8"/>
        <v>1.9466666666666665</v>
      </c>
      <c r="G13" s="23">
        <f t="shared" si="8"/>
        <v>0.38666666666666671</v>
      </c>
      <c r="H13" s="23">
        <f>H12*0.2</f>
        <v>0.37333333333333335</v>
      </c>
      <c r="I13" s="23">
        <f t="shared" si="8"/>
        <v>0.54666666666666675</v>
      </c>
      <c r="J13" s="23">
        <f t="shared" si="8"/>
        <v>0.64000000000000012</v>
      </c>
      <c r="L13" s="23">
        <f t="shared" ref="L13:T13" si="9">L12*0.2</f>
        <v>5.9333333333333336</v>
      </c>
      <c r="M13" s="23">
        <f t="shared" si="9"/>
        <v>0.33333333333333337</v>
      </c>
      <c r="N13" s="23">
        <f t="shared" si="9"/>
        <v>3.3466666666666671</v>
      </c>
      <c r="O13" s="23">
        <f t="shared" si="9"/>
        <v>7.5200000000000005</v>
      </c>
      <c r="P13" s="23">
        <f t="shared" si="9"/>
        <v>4.1333333333333337</v>
      </c>
      <c r="Q13" s="23">
        <f t="shared" si="9"/>
        <v>0.44000000000000006</v>
      </c>
      <c r="R13" s="23">
        <f t="shared" si="9"/>
        <v>1.1199999999999999</v>
      </c>
      <c r="S13" s="23">
        <f t="shared" si="9"/>
        <v>2.3333333333333335</v>
      </c>
      <c r="T13" s="23">
        <f t="shared" si="9"/>
        <v>9.6666666666666679</v>
      </c>
    </row>
    <row r="14" spans="1:20" s="18" customFormat="1" x14ac:dyDescent="0.2">
      <c r="A14" s="19" t="s">
        <v>50</v>
      </c>
      <c r="B14" s="18">
        <f>B12+B13</f>
        <v>81.679999999999993</v>
      </c>
      <c r="C14" s="18">
        <f>C12+C13</f>
        <v>60.48</v>
      </c>
      <c r="D14" s="18">
        <f t="shared" ref="D14:J14" si="10">D12+D13</f>
        <v>6.24</v>
      </c>
      <c r="E14" s="18">
        <f t="shared" si="10"/>
        <v>24.32</v>
      </c>
      <c r="F14" s="18">
        <f t="shared" si="10"/>
        <v>11.68</v>
      </c>
      <c r="G14" s="18">
        <f t="shared" si="10"/>
        <v>2.3200000000000003</v>
      </c>
      <c r="H14" s="18">
        <f>H12+H13</f>
        <v>2.2400000000000002</v>
      </c>
      <c r="I14" s="18">
        <f t="shared" si="10"/>
        <v>3.2800000000000002</v>
      </c>
      <c r="J14" s="18">
        <f t="shared" si="10"/>
        <v>3.8400000000000003</v>
      </c>
      <c r="L14" s="18">
        <f t="shared" ref="L14:T14" si="11">L12+L13</f>
        <v>35.6</v>
      </c>
      <c r="M14" s="18">
        <f t="shared" si="11"/>
        <v>2</v>
      </c>
      <c r="N14" s="18">
        <f t="shared" si="11"/>
        <v>20.080000000000002</v>
      </c>
      <c r="O14" s="18">
        <f t="shared" si="11"/>
        <v>45.120000000000005</v>
      </c>
      <c r="P14" s="18">
        <f t="shared" si="11"/>
        <v>24.8</v>
      </c>
      <c r="Q14" s="18">
        <f t="shared" si="11"/>
        <v>2.64</v>
      </c>
      <c r="R14" s="18">
        <f t="shared" si="11"/>
        <v>6.72</v>
      </c>
      <c r="S14" s="18">
        <f t="shared" si="11"/>
        <v>14</v>
      </c>
      <c r="T14" s="18">
        <f t="shared" si="11"/>
        <v>58</v>
      </c>
    </row>
    <row r="16" spans="1:20" x14ac:dyDescent="0.2">
      <c r="A16" s="21" t="s">
        <v>421</v>
      </c>
    </row>
    <row r="17" spans="1:21" ht="14.25" x14ac:dyDescent="0.2">
      <c r="A17" s="1" t="s">
        <v>102</v>
      </c>
      <c r="B17" s="46">
        <v>22</v>
      </c>
      <c r="C17" s="46">
        <v>16</v>
      </c>
      <c r="D17" s="46">
        <v>118</v>
      </c>
      <c r="E17" s="46">
        <v>187</v>
      </c>
      <c r="F17" s="46">
        <v>0</v>
      </c>
      <c r="G17" s="46">
        <v>79</v>
      </c>
      <c r="H17" s="46">
        <v>10</v>
      </c>
      <c r="I17" s="46">
        <v>37</v>
      </c>
      <c r="J17" s="46">
        <v>53</v>
      </c>
      <c r="L17" s="45">
        <v>8</v>
      </c>
      <c r="M17" s="45">
        <v>0</v>
      </c>
      <c r="N17" s="46">
        <v>204</v>
      </c>
      <c r="O17" s="46">
        <v>175</v>
      </c>
      <c r="P17" s="46">
        <v>132</v>
      </c>
      <c r="Q17" s="46">
        <v>50</v>
      </c>
      <c r="R17" s="46">
        <v>79</v>
      </c>
      <c r="S17" s="46">
        <v>40</v>
      </c>
      <c r="T17" s="46">
        <v>10</v>
      </c>
    </row>
    <row r="18" spans="1:21" s="55" customFormat="1" x14ac:dyDescent="0.2">
      <c r="A18" s="55" t="s">
        <v>26</v>
      </c>
      <c r="B18" s="55">
        <v>25</v>
      </c>
      <c r="C18" s="55">
        <v>25</v>
      </c>
      <c r="D18" s="55">
        <v>25</v>
      </c>
      <c r="E18" s="55">
        <v>25</v>
      </c>
      <c r="F18" s="55">
        <v>25</v>
      </c>
      <c r="G18" s="55">
        <v>25</v>
      </c>
      <c r="H18" s="55">
        <v>25</v>
      </c>
      <c r="I18" s="55">
        <v>25</v>
      </c>
      <c r="J18" s="55">
        <v>25</v>
      </c>
      <c r="L18" s="55">
        <v>25</v>
      </c>
      <c r="M18" s="55">
        <v>25</v>
      </c>
      <c r="N18" s="55">
        <v>25</v>
      </c>
      <c r="O18" s="55">
        <v>25</v>
      </c>
      <c r="P18" s="55">
        <v>25</v>
      </c>
      <c r="Q18" s="55">
        <v>25</v>
      </c>
      <c r="R18" s="55">
        <v>25</v>
      </c>
      <c r="S18" s="55">
        <v>25</v>
      </c>
      <c r="T18" s="55">
        <v>25</v>
      </c>
    </row>
    <row r="19" spans="1:21" x14ac:dyDescent="0.2">
      <c r="A19" s="1" t="s">
        <v>23</v>
      </c>
      <c r="B19" s="23">
        <f>B17/B18</f>
        <v>0.88</v>
      </c>
      <c r="C19" s="23">
        <f>C17/C18</f>
        <v>0.64</v>
      </c>
      <c r="D19" s="23">
        <f t="shared" ref="D19:J19" si="12">D17/D18</f>
        <v>4.72</v>
      </c>
      <c r="E19" s="23">
        <f t="shared" si="12"/>
        <v>7.48</v>
      </c>
      <c r="F19" s="23">
        <f t="shared" si="12"/>
        <v>0</v>
      </c>
      <c r="G19" s="23">
        <f>G17/G18</f>
        <v>3.16</v>
      </c>
      <c r="H19" s="23">
        <f>H17/H18</f>
        <v>0.4</v>
      </c>
      <c r="I19" s="23">
        <f t="shared" si="12"/>
        <v>1.48</v>
      </c>
      <c r="J19" s="23">
        <f t="shared" si="12"/>
        <v>2.12</v>
      </c>
      <c r="L19" s="23">
        <f t="shared" ref="L19:T19" si="13">L17/L18</f>
        <v>0.32</v>
      </c>
      <c r="M19" s="23">
        <f t="shared" si="13"/>
        <v>0</v>
      </c>
      <c r="N19" s="23">
        <f t="shared" si="13"/>
        <v>8.16</v>
      </c>
      <c r="O19" s="23">
        <f t="shared" si="13"/>
        <v>7</v>
      </c>
      <c r="P19" s="23">
        <f t="shared" si="13"/>
        <v>5.28</v>
      </c>
      <c r="Q19" s="23">
        <f t="shared" si="13"/>
        <v>2</v>
      </c>
      <c r="R19" s="23">
        <f t="shared" si="13"/>
        <v>3.16</v>
      </c>
      <c r="S19" s="23">
        <f t="shared" si="13"/>
        <v>1.6</v>
      </c>
      <c r="T19" s="23">
        <f t="shared" si="13"/>
        <v>0.4</v>
      </c>
    </row>
    <row r="20" spans="1:21" x14ac:dyDescent="0.2">
      <c r="A20" s="1" t="s">
        <v>24</v>
      </c>
      <c r="B20" s="23">
        <f>B19*0.2</f>
        <v>0.17600000000000002</v>
      </c>
      <c r="C20" s="23">
        <f>C19*0.2</f>
        <v>0.128</v>
      </c>
      <c r="D20" s="23">
        <f t="shared" ref="D20:J20" si="14">D19*0.2</f>
        <v>0.94399999999999995</v>
      </c>
      <c r="E20" s="23">
        <f t="shared" si="14"/>
        <v>1.4960000000000002</v>
      </c>
      <c r="F20" s="23">
        <f t="shared" si="14"/>
        <v>0</v>
      </c>
      <c r="G20" s="23">
        <f t="shared" si="14"/>
        <v>0.63200000000000012</v>
      </c>
      <c r="H20" s="23">
        <f>H19*0.2</f>
        <v>8.0000000000000016E-2</v>
      </c>
      <c r="I20" s="23">
        <f t="shared" si="14"/>
        <v>0.29599999999999999</v>
      </c>
      <c r="J20" s="23">
        <f t="shared" si="14"/>
        <v>0.42400000000000004</v>
      </c>
      <c r="L20" s="23">
        <f t="shared" ref="L20:T20" si="15">L19*0.2</f>
        <v>6.4000000000000001E-2</v>
      </c>
      <c r="M20" s="23">
        <f t="shared" si="15"/>
        <v>0</v>
      </c>
      <c r="N20" s="23">
        <f t="shared" si="15"/>
        <v>1.6320000000000001</v>
      </c>
      <c r="O20" s="23">
        <f t="shared" si="15"/>
        <v>1.4000000000000001</v>
      </c>
      <c r="P20" s="23">
        <f t="shared" si="15"/>
        <v>1.056</v>
      </c>
      <c r="Q20" s="23">
        <f t="shared" si="15"/>
        <v>0.4</v>
      </c>
      <c r="R20" s="23">
        <f t="shared" si="15"/>
        <v>0.63200000000000012</v>
      </c>
      <c r="S20" s="23">
        <f t="shared" si="15"/>
        <v>0.32000000000000006</v>
      </c>
      <c r="T20" s="23">
        <f t="shared" si="15"/>
        <v>8.0000000000000016E-2</v>
      </c>
    </row>
    <row r="21" spans="1:21" s="19" customFormat="1" x14ac:dyDescent="0.2">
      <c r="A21" s="19" t="s">
        <v>50</v>
      </c>
      <c r="B21" s="24">
        <f>B20+B19</f>
        <v>1.056</v>
      </c>
      <c r="C21" s="24">
        <f>C20+C19</f>
        <v>0.76800000000000002</v>
      </c>
      <c r="D21" s="24">
        <f t="shared" ref="D21:J21" si="16">D20+D19</f>
        <v>5.6639999999999997</v>
      </c>
      <c r="E21" s="24">
        <f t="shared" si="16"/>
        <v>8.9760000000000009</v>
      </c>
      <c r="F21" s="24">
        <f t="shared" si="16"/>
        <v>0</v>
      </c>
      <c r="G21" s="24">
        <f t="shared" si="16"/>
        <v>3.7920000000000003</v>
      </c>
      <c r="H21" s="24">
        <f>H20+H19</f>
        <v>0.48000000000000004</v>
      </c>
      <c r="I21" s="24">
        <f t="shared" si="16"/>
        <v>1.776</v>
      </c>
      <c r="J21" s="24">
        <f t="shared" si="16"/>
        <v>2.544</v>
      </c>
      <c r="L21" s="24">
        <f t="shared" ref="L21:T21" si="17">L20+L19</f>
        <v>0.38400000000000001</v>
      </c>
      <c r="M21" s="24">
        <f t="shared" si="17"/>
        <v>0</v>
      </c>
      <c r="N21" s="24">
        <f t="shared" si="17"/>
        <v>9.7919999999999998</v>
      </c>
      <c r="O21" s="24">
        <f t="shared" si="17"/>
        <v>8.4</v>
      </c>
      <c r="P21" s="24">
        <f t="shared" si="17"/>
        <v>6.3360000000000003</v>
      </c>
      <c r="Q21" s="24">
        <f t="shared" si="17"/>
        <v>2.4</v>
      </c>
      <c r="R21" s="24">
        <f t="shared" si="17"/>
        <v>3.7920000000000003</v>
      </c>
      <c r="S21" s="24">
        <f t="shared" si="17"/>
        <v>1.9200000000000002</v>
      </c>
      <c r="T21" s="24">
        <f t="shared" si="17"/>
        <v>0.48000000000000004</v>
      </c>
    </row>
    <row r="23" spans="1:21" x14ac:dyDescent="0.2">
      <c r="A23" t="s">
        <v>297</v>
      </c>
    </row>
    <row r="25" spans="1:21" s="26" customFormat="1" ht="30" x14ac:dyDescent="0.25">
      <c r="A25" s="25" t="s">
        <v>293</v>
      </c>
      <c r="B25" s="27">
        <f>B21+B14+B7</f>
        <v>214.73599999999999</v>
      </c>
      <c r="C25" s="27">
        <f t="shared" ref="C25:J25" si="18">C21+C14+C7</f>
        <v>156.768</v>
      </c>
      <c r="D25" s="27">
        <f t="shared" si="18"/>
        <v>16.463999999999999</v>
      </c>
      <c r="E25" s="27">
        <f t="shared" si="18"/>
        <v>64.256</v>
      </c>
      <c r="F25" s="27">
        <f t="shared" si="18"/>
        <v>28.96</v>
      </c>
      <c r="G25" s="27">
        <f t="shared" si="18"/>
        <v>18.351999999999997</v>
      </c>
      <c r="H25" s="27">
        <f t="shared" si="18"/>
        <v>10.64</v>
      </c>
      <c r="I25" s="27">
        <f t="shared" si="18"/>
        <v>18.736000000000001</v>
      </c>
      <c r="J25" s="27">
        <f t="shared" si="18"/>
        <v>35.423999999999999</v>
      </c>
      <c r="K25" s="81">
        <f t="shared" ref="K25:K28" si="19">SUM(B25:J25)</f>
        <v>564.33600000000001</v>
      </c>
      <c r="L25" s="27">
        <f>L21+L14+L7</f>
        <v>140.14400000000001</v>
      </c>
      <c r="M25" s="27">
        <f t="shared" ref="M25:T25" si="20">M21+M14+M7</f>
        <v>3.44</v>
      </c>
      <c r="N25" s="27">
        <f t="shared" si="20"/>
        <v>82.912000000000006</v>
      </c>
      <c r="O25" s="27">
        <f t="shared" si="20"/>
        <v>166.32</v>
      </c>
      <c r="P25" s="27">
        <f t="shared" si="20"/>
        <v>102.416</v>
      </c>
      <c r="Q25" s="27">
        <f t="shared" si="20"/>
        <v>6.72</v>
      </c>
      <c r="R25" s="27">
        <f t="shared" si="20"/>
        <v>23.472000000000001</v>
      </c>
      <c r="S25" s="27">
        <f t="shared" si="20"/>
        <v>31.04</v>
      </c>
      <c r="T25" s="27">
        <f t="shared" si="20"/>
        <v>94.72</v>
      </c>
      <c r="U25" s="81">
        <f t="shared" ref="U25:U33" si="21">SUM(L25:T25)</f>
        <v>651.18400000000008</v>
      </c>
    </row>
    <row r="26" spans="1:21" s="26" customFormat="1" ht="29.25" hidden="1" x14ac:dyDescent="0.25">
      <c r="A26" s="89" t="s">
        <v>52</v>
      </c>
      <c r="B26" s="90">
        <f>B25*1.1</f>
        <v>236.20959999999999</v>
      </c>
      <c r="C26" s="90">
        <f>C25*1.1</f>
        <v>172.44480000000001</v>
      </c>
      <c r="D26" s="90">
        <f>D25*1.1</f>
        <v>18.110399999999998</v>
      </c>
      <c r="E26" s="90">
        <f t="shared" ref="E26:J26" si="22">E25*1.1</f>
        <v>70.681600000000003</v>
      </c>
      <c r="F26" s="90">
        <f t="shared" si="22"/>
        <v>31.856000000000005</v>
      </c>
      <c r="G26" s="90">
        <f t="shared" si="22"/>
        <v>20.187199999999997</v>
      </c>
      <c r="H26" s="90">
        <f>H25*1.1</f>
        <v>11.704000000000002</v>
      </c>
      <c r="I26" s="90">
        <f t="shared" si="22"/>
        <v>20.609600000000004</v>
      </c>
      <c r="J26" s="90">
        <f t="shared" si="22"/>
        <v>38.9664</v>
      </c>
      <c r="K26" s="81">
        <f t="shared" si="19"/>
        <v>620.76959999999997</v>
      </c>
      <c r="L26" s="90">
        <f>L25*1.1</f>
        <v>154.15840000000003</v>
      </c>
      <c r="M26" s="90">
        <f t="shared" ref="M26:T26" si="23">M25*1.1</f>
        <v>3.7840000000000003</v>
      </c>
      <c r="N26" s="90">
        <f t="shared" si="23"/>
        <v>91.20320000000001</v>
      </c>
      <c r="O26" s="90">
        <f t="shared" si="23"/>
        <v>182.952</v>
      </c>
      <c r="P26" s="90">
        <f t="shared" si="23"/>
        <v>112.6576</v>
      </c>
      <c r="Q26" s="90">
        <f t="shared" si="23"/>
        <v>7.3920000000000003</v>
      </c>
      <c r="R26" s="90">
        <f t="shared" si="23"/>
        <v>25.819200000000002</v>
      </c>
      <c r="S26" s="90">
        <f t="shared" si="23"/>
        <v>34.143999999999998</v>
      </c>
      <c r="T26" s="90">
        <f t="shared" si="23"/>
        <v>104.19200000000001</v>
      </c>
      <c r="U26" s="81">
        <f t="shared" si="21"/>
        <v>716.30240000000015</v>
      </c>
    </row>
    <row r="27" spans="1:21" s="26" customFormat="1" ht="15" x14ac:dyDescent="0.25">
      <c r="A27" s="31"/>
      <c r="K27" s="81"/>
      <c r="U27" s="81"/>
    </row>
    <row r="28" spans="1:21" s="26" customFormat="1" ht="15" x14ac:dyDescent="0.25">
      <c r="A28" s="31" t="s">
        <v>51</v>
      </c>
      <c r="B28" s="46">
        <v>17</v>
      </c>
      <c r="C28" s="46">
        <v>9</v>
      </c>
      <c r="D28" s="46">
        <v>5</v>
      </c>
      <c r="E28" s="46">
        <v>8</v>
      </c>
      <c r="F28" s="46">
        <v>1</v>
      </c>
      <c r="G28" s="46">
        <v>7</v>
      </c>
      <c r="H28" s="46">
        <v>3</v>
      </c>
      <c r="I28" s="46">
        <v>2</v>
      </c>
      <c r="J28" s="46">
        <v>4</v>
      </c>
      <c r="K28" s="81">
        <f t="shared" si="19"/>
        <v>56</v>
      </c>
      <c r="L28" s="46">
        <v>3</v>
      </c>
      <c r="M28" s="46">
        <v>2</v>
      </c>
      <c r="N28" s="46">
        <v>32</v>
      </c>
      <c r="O28" s="46">
        <v>40</v>
      </c>
      <c r="P28" s="46">
        <v>19</v>
      </c>
      <c r="Q28" s="46">
        <v>4</v>
      </c>
      <c r="R28" s="46">
        <v>4</v>
      </c>
      <c r="S28" s="46">
        <v>12</v>
      </c>
      <c r="T28" s="46">
        <v>5</v>
      </c>
      <c r="U28" s="81">
        <f t="shared" si="21"/>
        <v>121</v>
      </c>
    </row>
    <row r="29" spans="1:21" s="26" customFormat="1" ht="15" x14ac:dyDescent="0.25">
      <c r="A29" s="31"/>
      <c r="K29" s="81"/>
      <c r="U29" s="81"/>
    </row>
    <row r="30" spans="1:21" s="18" customFormat="1" x14ac:dyDescent="0.2">
      <c r="A30" s="68" t="s">
        <v>30</v>
      </c>
      <c r="B30" s="81">
        <f>B25/40</f>
        <v>5.3683999999999994</v>
      </c>
      <c r="C30" s="81">
        <f t="shared" ref="C30:T30" si="24">C25/40</f>
        <v>3.9192</v>
      </c>
      <c r="D30" s="81">
        <f>D25/40</f>
        <v>0.41159999999999997</v>
      </c>
      <c r="E30" s="81">
        <f t="shared" si="24"/>
        <v>1.6064000000000001</v>
      </c>
      <c r="F30" s="81">
        <f t="shared" si="24"/>
        <v>0.72399999999999998</v>
      </c>
      <c r="G30" s="81">
        <f t="shared" si="24"/>
        <v>0.45879999999999993</v>
      </c>
      <c r="H30" s="81">
        <f t="shared" si="24"/>
        <v>0.26600000000000001</v>
      </c>
      <c r="I30" s="81">
        <f t="shared" si="24"/>
        <v>0.46840000000000004</v>
      </c>
      <c r="J30" s="81">
        <f t="shared" si="24"/>
        <v>0.88559999999999994</v>
      </c>
      <c r="K30" s="81">
        <f>SUM(B30:J30)</f>
        <v>14.108400000000001</v>
      </c>
      <c r="L30" s="81">
        <f t="shared" si="24"/>
        <v>3.5036</v>
      </c>
      <c r="M30" s="81">
        <f t="shared" si="24"/>
        <v>8.5999999999999993E-2</v>
      </c>
      <c r="N30" s="81">
        <f t="shared" si="24"/>
        <v>2.0728</v>
      </c>
      <c r="O30" s="81">
        <f t="shared" si="24"/>
        <v>4.1579999999999995</v>
      </c>
      <c r="P30" s="81">
        <f t="shared" si="24"/>
        <v>2.5604</v>
      </c>
      <c r="Q30" s="81">
        <f t="shared" si="24"/>
        <v>0.16799999999999998</v>
      </c>
      <c r="R30" s="81">
        <f t="shared" si="24"/>
        <v>0.58679999999999999</v>
      </c>
      <c r="S30" s="81">
        <f t="shared" si="24"/>
        <v>0.77600000000000002</v>
      </c>
      <c r="T30" s="81">
        <f t="shared" si="24"/>
        <v>2.3679999999999999</v>
      </c>
      <c r="U30" s="81">
        <f t="shared" si="21"/>
        <v>16.279599999999999</v>
      </c>
    </row>
    <row r="31" spans="1:21" ht="31.5" customHeight="1" x14ac:dyDescent="0.2">
      <c r="A31" s="68" t="s">
        <v>324</v>
      </c>
      <c r="B31" s="81">
        <v>2.4312499999999999</v>
      </c>
      <c r="C31" s="81">
        <v>1.75</v>
      </c>
      <c r="D31" s="81">
        <v>1.34375</v>
      </c>
      <c r="E31" s="81">
        <v>2.0750000000000002</v>
      </c>
      <c r="F31" s="81">
        <v>1.0687500000000001</v>
      </c>
      <c r="G31" s="81">
        <v>1.48125</v>
      </c>
      <c r="H31" s="81">
        <v>1.46875</v>
      </c>
      <c r="I31" s="81">
        <v>1.1375</v>
      </c>
      <c r="J31" s="81">
        <v>1.2749999999999999</v>
      </c>
      <c r="K31" s="81">
        <f t="shared" ref="K31:K35" si="25">SUM(B31:J31)</f>
        <v>14.03125</v>
      </c>
      <c r="L31" s="81">
        <v>2.4937499999999999</v>
      </c>
      <c r="M31" s="81">
        <v>1.1375</v>
      </c>
      <c r="N31" s="81">
        <v>3.2</v>
      </c>
      <c r="O31" s="81">
        <v>3.8187500000000001</v>
      </c>
      <c r="P31" s="81">
        <v>2.4375</v>
      </c>
      <c r="Q31" s="81">
        <v>1.40625</v>
      </c>
      <c r="R31" s="81">
        <v>1.2749999999999999</v>
      </c>
      <c r="S31" s="81">
        <v>1.95625</v>
      </c>
      <c r="T31" s="81">
        <v>1.8687499999999999</v>
      </c>
      <c r="U31" s="81">
        <f t="shared" si="21"/>
        <v>19.59375</v>
      </c>
    </row>
    <row r="32" spans="1:21" ht="30" customHeight="1" x14ac:dyDescent="0.2">
      <c r="A32" s="101" t="s">
        <v>325</v>
      </c>
      <c r="B32">
        <f>B31+B30</f>
        <v>7.7996499999999997</v>
      </c>
      <c r="C32">
        <f t="shared" ref="C32:T32" si="26">C31+C30</f>
        <v>5.6692</v>
      </c>
      <c r="D32">
        <f t="shared" si="26"/>
        <v>1.75535</v>
      </c>
      <c r="E32">
        <f t="shared" si="26"/>
        <v>3.6814</v>
      </c>
      <c r="F32">
        <f t="shared" si="26"/>
        <v>1.7927500000000001</v>
      </c>
      <c r="G32">
        <f t="shared" si="26"/>
        <v>1.9400499999999998</v>
      </c>
      <c r="H32">
        <f t="shared" si="26"/>
        <v>1.73475</v>
      </c>
      <c r="I32">
        <f t="shared" si="26"/>
        <v>1.6059000000000001</v>
      </c>
      <c r="J32">
        <f t="shared" si="26"/>
        <v>2.1605999999999996</v>
      </c>
      <c r="K32" s="81">
        <f t="shared" si="25"/>
        <v>28.13965</v>
      </c>
      <c r="L32">
        <f t="shared" si="26"/>
        <v>5.99735</v>
      </c>
      <c r="M32">
        <f t="shared" si="26"/>
        <v>1.2235</v>
      </c>
      <c r="N32">
        <f t="shared" si="26"/>
        <v>5.2728000000000002</v>
      </c>
      <c r="O32">
        <f t="shared" si="26"/>
        <v>7.9767499999999991</v>
      </c>
      <c r="P32">
        <f t="shared" si="26"/>
        <v>4.9978999999999996</v>
      </c>
      <c r="Q32">
        <f t="shared" si="26"/>
        <v>1.5742499999999999</v>
      </c>
      <c r="R32">
        <f t="shared" si="26"/>
        <v>1.8617999999999999</v>
      </c>
      <c r="S32">
        <f t="shared" si="26"/>
        <v>2.7322500000000001</v>
      </c>
      <c r="T32">
        <f t="shared" si="26"/>
        <v>4.2367499999999998</v>
      </c>
      <c r="U32" s="81">
        <f t="shared" si="21"/>
        <v>35.873349999999995</v>
      </c>
    </row>
    <row r="33" spans="1:21" x14ac:dyDescent="0.2">
      <c r="A33" s="20" t="s">
        <v>53</v>
      </c>
      <c r="B33" s="23">
        <f>B32*40</f>
        <v>311.98599999999999</v>
      </c>
      <c r="C33" s="23">
        <f t="shared" ref="C33:T33" si="27">C32*40</f>
        <v>226.768</v>
      </c>
      <c r="D33" s="23">
        <f t="shared" si="27"/>
        <v>70.213999999999999</v>
      </c>
      <c r="E33" s="23">
        <f t="shared" si="27"/>
        <v>147.256</v>
      </c>
      <c r="F33" s="23">
        <f t="shared" si="27"/>
        <v>71.710000000000008</v>
      </c>
      <c r="G33" s="23">
        <f t="shared" si="27"/>
        <v>77.60199999999999</v>
      </c>
      <c r="H33" s="23">
        <f t="shared" si="27"/>
        <v>69.39</v>
      </c>
      <c r="I33" s="23">
        <f t="shared" si="27"/>
        <v>64.236000000000004</v>
      </c>
      <c r="J33" s="23">
        <f t="shared" si="27"/>
        <v>86.423999999999978</v>
      </c>
      <c r="K33" s="81">
        <f t="shared" si="25"/>
        <v>1125.586</v>
      </c>
      <c r="L33" s="23">
        <f t="shared" si="27"/>
        <v>239.89400000000001</v>
      </c>
      <c r="M33" s="23">
        <f t="shared" si="27"/>
        <v>48.94</v>
      </c>
      <c r="N33" s="23">
        <f t="shared" si="27"/>
        <v>210.91200000000001</v>
      </c>
      <c r="O33" s="23">
        <f t="shared" si="27"/>
        <v>319.06999999999994</v>
      </c>
      <c r="P33" s="23">
        <f t="shared" si="27"/>
        <v>199.916</v>
      </c>
      <c r="Q33" s="23">
        <f t="shared" si="27"/>
        <v>62.97</v>
      </c>
      <c r="R33" s="23">
        <f t="shared" si="27"/>
        <v>74.471999999999994</v>
      </c>
      <c r="S33" s="23">
        <f t="shared" si="27"/>
        <v>109.29</v>
      </c>
      <c r="T33" s="23">
        <f t="shared" si="27"/>
        <v>169.47</v>
      </c>
      <c r="U33" s="81">
        <f t="shared" si="21"/>
        <v>1434.934</v>
      </c>
    </row>
    <row r="34" spans="1:21" x14ac:dyDescent="0.2">
      <c r="A34" s="20" t="s">
        <v>54</v>
      </c>
      <c r="B34" s="23">
        <f>ROUNDUP(B33,0)</f>
        <v>312</v>
      </c>
      <c r="C34" s="23">
        <f t="shared" ref="C34:T34" si="28">ROUNDUP(C33,0)</f>
        <v>227</v>
      </c>
      <c r="D34" s="23">
        <f t="shared" si="28"/>
        <v>71</v>
      </c>
      <c r="E34" s="23">
        <f t="shared" si="28"/>
        <v>148</v>
      </c>
      <c r="F34" s="23">
        <f t="shared" si="28"/>
        <v>72</v>
      </c>
      <c r="G34" s="23">
        <f t="shared" si="28"/>
        <v>78</v>
      </c>
      <c r="H34" s="23">
        <f t="shared" si="28"/>
        <v>70</v>
      </c>
      <c r="I34" s="23">
        <f t="shared" si="28"/>
        <v>65</v>
      </c>
      <c r="J34" s="23">
        <f t="shared" si="28"/>
        <v>87</v>
      </c>
      <c r="K34" s="81">
        <f t="shared" si="25"/>
        <v>1130</v>
      </c>
      <c r="L34" s="23">
        <f t="shared" si="28"/>
        <v>240</v>
      </c>
      <c r="M34" s="23">
        <f t="shared" si="28"/>
        <v>49</v>
      </c>
      <c r="N34" s="23">
        <f t="shared" si="28"/>
        <v>211</v>
      </c>
      <c r="O34" s="23">
        <f t="shared" si="28"/>
        <v>320</v>
      </c>
      <c r="P34" s="23">
        <f t="shared" si="28"/>
        <v>200</v>
      </c>
      <c r="Q34" s="23">
        <f t="shared" si="28"/>
        <v>63</v>
      </c>
      <c r="R34" s="23">
        <f t="shared" si="28"/>
        <v>75</v>
      </c>
      <c r="S34" s="23">
        <f t="shared" si="28"/>
        <v>110</v>
      </c>
      <c r="T34" s="23">
        <f t="shared" si="28"/>
        <v>170</v>
      </c>
      <c r="U34" s="186">
        <f>SUM(L34:T34)</f>
        <v>1438</v>
      </c>
    </row>
    <row r="35" spans="1:21" s="32" customFormat="1" ht="15.75" x14ac:dyDescent="0.25">
      <c r="A35" s="20" t="s">
        <v>326</v>
      </c>
      <c r="B35" s="23">
        <f>ROUNDUP(B32,0)</f>
        <v>8</v>
      </c>
      <c r="C35" s="23">
        <f t="shared" ref="C35:T35" si="29">ROUNDUP(C32,0)</f>
        <v>6</v>
      </c>
      <c r="D35" s="23">
        <f t="shared" si="29"/>
        <v>2</v>
      </c>
      <c r="E35" s="23">
        <f t="shared" si="29"/>
        <v>4</v>
      </c>
      <c r="F35" s="23">
        <f t="shared" si="29"/>
        <v>2</v>
      </c>
      <c r="G35" s="23">
        <f t="shared" si="29"/>
        <v>2</v>
      </c>
      <c r="H35" s="23">
        <f t="shared" si="29"/>
        <v>2</v>
      </c>
      <c r="I35" s="23">
        <f t="shared" si="29"/>
        <v>2</v>
      </c>
      <c r="J35" s="23">
        <f t="shared" si="29"/>
        <v>3</v>
      </c>
      <c r="K35" s="81">
        <f t="shared" si="25"/>
        <v>31</v>
      </c>
      <c r="L35" s="23">
        <f t="shared" si="29"/>
        <v>6</v>
      </c>
      <c r="M35" s="23">
        <f t="shared" si="29"/>
        <v>2</v>
      </c>
      <c r="N35" s="23">
        <f t="shared" si="29"/>
        <v>6</v>
      </c>
      <c r="O35" s="23">
        <f t="shared" si="29"/>
        <v>8</v>
      </c>
      <c r="P35" s="23">
        <f t="shared" si="29"/>
        <v>5</v>
      </c>
      <c r="Q35" s="23">
        <f t="shared" si="29"/>
        <v>2</v>
      </c>
      <c r="R35" s="23">
        <f t="shared" si="29"/>
        <v>2</v>
      </c>
      <c r="S35" s="23">
        <f t="shared" si="29"/>
        <v>3</v>
      </c>
      <c r="T35" s="23">
        <f t="shared" si="29"/>
        <v>5</v>
      </c>
      <c r="U35" s="81">
        <f>SUM(L35:T35)</f>
        <v>39</v>
      </c>
    </row>
    <row r="36" spans="1:21" x14ac:dyDescent="0.2">
      <c r="U36" s="21"/>
    </row>
    <row r="40" spans="1:21" x14ac:dyDescent="0.2">
      <c r="A40" s="197" t="s">
        <v>439</v>
      </c>
      <c r="B40" s="197"/>
      <c r="C40" s="197"/>
      <c r="D40" s="197"/>
      <c r="E40" s="197"/>
      <c r="F40" s="197"/>
      <c r="G40" s="197"/>
      <c r="H40" s="197"/>
      <c r="I40" s="197"/>
      <c r="J40" s="197"/>
    </row>
    <row r="41" spans="1:21" x14ac:dyDescent="0.2">
      <c r="A41" s="197" t="s">
        <v>438</v>
      </c>
      <c r="B41" s="197"/>
      <c r="C41" s="197"/>
      <c r="D41" s="197"/>
      <c r="E41" s="197"/>
      <c r="F41" s="197"/>
      <c r="G41" s="197"/>
      <c r="H41" s="197"/>
      <c r="I41" s="197"/>
      <c r="J41" s="197"/>
    </row>
  </sheetData>
  <mergeCells count="2">
    <mergeCell ref="A40:J40"/>
    <mergeCell ref="A41:J41"/>
  </mergeCells>
  <phoneticPr fontId="1" type="noConversion"/>
  <pageMargins left="0.75" right="0.75" top="1" bottom="1" header="0.5" footer="0.5"/>
  <pageSetup orientation="portrait" horizontalDpi="1200" verticalDpi="12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E53"/>
  <sheetViews>
    <sheetView zoomScale="80" zoomScaleNormal="80" workbookViewId="0">
      <pane ySplit="1" topLeftCell="A2" activePane="bottomLeft" state="frozen"/>
      <selection pane="bottomLeft" activeCell="M2" sqref="M2"/>
    </sheetView>
  </sheetViews>
  <sheetFormatPr defaultRowHeight="12.75" x14ac:dyDescent="0.2"/>
  <cols>
    <col min="1" max="1" width="20.5703125" customWidth="1"/>
    <col min="2" max="2" width="18.7109375" customWidth="1"/>
    <col min="3" max="3" width="12.28515625" bestFit="1" customWidth="1"/>
    <col min="4" max="4" width="11.28515625" bestFit="1" customWidth="1"/>
    <col min="5" max="5" width="12.28515625" bestFit="1" customWidth="1"/>
    <col min="6" max="10" width="11.28515625" bestFit="1" customWidth="1"/>
    <col min="12" max="12" width="12.28515625" bestFit="1" customWidth="1"/>
    <col min="13" max="13" width="11.28515625" bestFit="1" customWidth="1"/>
    <col min="14" max="16" width="12.28515625" bestFit="1" customWidth="1"/>
    <col min="17" max="17" width="11.28515625" customWidth="1"/>
    <col min="18" max="19" width="11.28515625" bestFit="1" customWidth="1"/>
    <col min="20" max="20" width="12.28515625" bestFit="1" customWidth="1"/>
    <col min="21" max="21" width="7.7109375" bestFit="1" customWidth="1"/>
    <col min="22" max="22" width="8.7109375" bestFit="1" customWidth="1"/>
    <col min="26" max="26" width="12.85546875" customWidth="1"/>
    <col min="27" max="27" width="33.140625" bestFit="1" customWidth="1"/>
    <col min="28" max="28" width="12.85546875" customWidth="1"/>
  </cols>
  <sheetData>
    <row r="1" spans="1:31" s="65" customFormat="1" x14ac:dyDescent="0.2">
      <c r="A1" s="63"/>
      <c r="B1" s="64" t="s">
        <v>57</v>
      </c>
      <c r="C1" s="64" t="s">
        <v>61</v>
      </c>
      <c r="D1" s="64" t="s">
        <v>100</v>
      </c>
      <c r="E1" s="64" t="s">
        <v>104</v>
      </c>
      <c r="F1" s="64" t="s">
        <v>105</v>
      </c>
      <c r="G1" s="64" t="s">
        <v>106</v>
      </c>
      <c r="H1" s="64" t="s">
        <v>111</v>
      </c>
      <c r="I1" s="64" t="s">
        <v>107</v>
      </c>
      <c r="J1" s="64" t="s">
        <v>108</v>
      </c>
      <c r="K1" s="64"/>
      <c r="L1" s="64" t="s">
        <v>65</v>
      </c>
      <c r="M1" s="64" t="s">
        <v>109</v>
      </c>
      <c r="N1" s="64" t="s">
        <v>110</v>
      </c>
      <c r="O1" s="64" t="s">
        <v>60</v>
      </c>
      <c r="P1" s="64" t="s">
        <v>62</v>
      </c>
      <c r="Q1" s="64" t="s">
        <v>112</v>
      </c>
      <c r="R1" s="64" t="s">
        <v>113</v>
      </c>
      <c r="S1" s="64" t="s">
        <v>64</v>
      </c>
      <c r="T1" s="64" t="s">
        <v>63</v>
      </c>
      <c r="X1"/>
      <c r="Y1"/>
      <c r="Z1"/>
      <c r="AA1"/>
      <c r="AB1"/>
      <c r="AC1"/>
      <c r="AD1"/>
      <c r="AE1"/>
    </row>
    <row r="2" spans="1:31" ht="39" customHeight="1" x14ac:dyDescent="0.2">
      <c r="A2" s="49" t="s">
        <v>39</v>
      </c>
      <c r="B2" s="56">
        <v>17</v>
      </c>
      <c r="C2" s="56">
        <v>9</v>
      </c>
      <c r="D2" s="56">
        <v>5</v>
      </c>
      <c r="E2" s="56">
        <v>8</v>
      </c>
      <c r="F2" s="56">
        <v>1</v>
      </c>
      <c r="G2" s="56">
        <v>7</v>
      </c>
      <c r="H2" s="56">
        <v>3</v>
      </c>
      <c r="I2" s="56">
        <v>2</v>
      </c>
      <c r="J2" s="56">
        <v>4</v>
      </c>
      <c r="K2" s="57"/>
      <c r="L2" s="56">
        <v>3</v>
      </c>
      <c r="M2" s="56">
        <v>2</v>
      </c>
      <c r="N2" s="56">
        <v>32</v>
      </c>
      <c r="O2" s="56">
        <v>40</v>
      </c>
      <c r="P2" s="56">
        <v>19</v>
      </c>
      <c r="Q2" s="56">
        <v>4</v>
      </c>
      <c r="R2" s="56">
        <v>4</v>
      </c>
      <c r="S2" s="56">
        <v>12</v>
      </c>
      <c r="T2" s="56">
        <v>5</v>
      </c>
    </row>
    <row r="3" spans="1:31" x14ac:dyDescent="0.2">
      <c r="A3" s="49"/>
      <c r="B3" s="56"/>
      <c r="C3" s="56"/>
      <c r="D3" s="56"/>
      <c r="E3" s="56"/>
      <c r="F3" s="56"/>
      <c r="G3" s="56"/>
      <c r="H3" s="57"/>
      <c r="I3" s="57"/>
      <c r="J3" s="57"/>
      <c r="K3" s="57"/>
      <c r="L3" s="57"/>
      <c r="M3" s="57"/>
      <c r="N3" s="57"/>
      <c r="O3" s="57"/>
      <c r="P3" s="57"/>
      <c r="Q3" s="57"/>
      <c r="R3" s="57"/>
      <c r="S3" s="57"/>
      <c r="T3" s="57"/>
    </row>
    <row r="4" spans="1:31" ht="25.5" x14ac:dyDescent="0.2">
      <c r="A4" s="51" t="s">
        <v>37</v>
      </c>
      <c r="B4" s="58">
        <v>15</v>
      </c>
      <c r="C4" s="58">
        <v>8</v>
      </c>
      <c r="D4" s="58">
        <v>5</v>
      </c>
      <c r="E4" s="58">
        <v>4</v>
      </c>
      <c r="F4" s="58">
        <v>1</v>
      </c>
      <c r="G4" s="58">
        <v>7</v>
      </c>
      <c r="H4" s="58">
        <v>1</v>
      </c>
      <c r="I4" s="58">
        <v>2</v>
      </c>
      <c r="J4" s="58">
        <v>4</v>
      </c>
      <c r="K4" s="57"/>
      <c r="L4" s="58">
        <v>1</v>
      </c>
      <c r="M4" s="58">
        <v>2</v>
      </c>
      <c r="N4" s="58">
        <v>32</v>
      </c>
      <c r="O4" s="59">
        <v>40</v>
      </c>
      <c r="P4" s="58">
        <v>18</v>
      </c>
      <c r="Q4" s="58">
        <v>3</v>
      </c>
      <c r="R4" s="58">
        <v>4</v>
      </c>
      <c r="S4" s="58">
        <v>11</v>
      </c>
      <c r="T4" s="58">
        <v>1</v>
      </c>
    </row>
    <row r="5" spans="1:31" x14ac:dyDescent="0.2">
      <c r="A5" s="51" t="s">
        <v>291</v>
      </c>
      <c r="B5" s="57">
        <v>2.75</v>
      </c>
      <c r="C5" s="57">
        <v>2.75</v>
      </c>
      <c r="D5" s="57">
        <v>2.75</v>
      </c>
      <c r="E5" s="57">
        <v>2.75</v>
      </c>
      <c r="F5" s="57">
        <v>2.75</v>
      </c>
      <c r="G5" s="57">
        <v>2.75</v>
      </c>
      <c r="H5" s="57">
        <v>2.75</v>
      </c>
      <c r="I5" s="57">
        <v>2.75</v>
      </c>
      <c r="J5" s="57">
        <v>2.75</v>
      </c>
      <c r="K5" s="57"/>
      <c r="L5" s="57">
        <v>2.75</v>
      </c>
      <c r="M5" s="57">
        <v>2.75</v>
      </c>
      <c r="N5" s="57">
        <v>2.75</v>
      </c>
      <c r="O5" s="57">
        <v>2.75</v>
      </c>
      <c r="P5" s="57">
        <v>2.75</v>
      </c>
      <c r="Q5" s="57">
        <v>2.75</v>
      </c>
      <c r="R5" s="57">
        <v>2.75</v>
      </c>
      <c r="S5" s="57">
        <v>2.75</v>
      </c>
      <c r="T5" s="57">
        <v>2.75</v>
      </c>
    </row>
    <row r="6" spans="1:31" s="18" customFormat="1" ht="24" customHeight="1" x14ac:dyDescent="0.2">
      <c r="A6" s="52" t="s">
        <v>313</v>
      </c>
      <c r="B6" s="60">
        <f>B5*B4</f>
        <v>41.25</v>
      </c>
      <c r="C6" s="60">
        <f t="shared" ref="C6:T6" si="0">C5*C4</f>
        <v>22</v>
      </c>
      <c r="D6" s="60">
        <f>D5*D4</f>
        <v>13.75</v>
      </c>
      <c r="E6" s="60">
        <f t="shared" si="0"/>
        <v>11</v>
      </c>
      <c r="F6" s="60">
        <f t="shared" si="0"/>
        <v>2.75</v>
      </c>
      <c r="G6" s="60">
        <f t="shared" si="0"/>
        <v>19.25</v>
      </c>
      <c r="H6" s="60">
        <f t="shared" si="0"/>
        <v>2.75</v>
      </c>
      <c r="I6" s="60">
        <f t="shared" si="0"/>
        <v>5.5</v>
      </c>
      <c r="J6" s="60">
        <f t="shared" si="0"/>
        <v>11</v>
      </c>
      <c r="K6" s="60"/>
      <c r="L6" s="60">
        <f>L5*L4</f>
        <v>2.75</v>
      </c>
      <c r="M6" s="60">
        <f t="shared" si="0"/>
        <v>5.5</v>
      </c>
      <c r="N6" s="60">
        <f t="shared" si="0"/>
        <v>88</v>
      </c>
      <c r="O6" s="60">
        <f t="shared" si="0"/>
        <v>110</v>
      </c>
      <c r="P6" s="60">
        <f t="shared" si="0"/>
        <v>49.5</v>
      </c>
      <c r="Q6" s="60">
        <f t="shared" si="0"/>
        <v>8.25</v>
      </c>
      <c r="R6" s="60">
        <f t="shared" si="0"/>
        <v>11</v>
      </c>
      <c r="S6" s="60">
        <f t="shared" si="0"/>
        <v>30.25</v>
      </c>
      <c r="T6" s="60">
        <f t="shared" si="0"/>
        <v>2.75</v>
      </c>
      <c r="U6" s="18">
        <f>SUM(B6:T6)</f>
        <v>437.25</v>
      </c>
      <c r="X6"/>
      <c r="Y6"/>
      <c r="Z6"/>
      <c r="AA6"/>
      <c r="AB6"/>
      <c r="AC6"/>
      <c r="AD6"/>
      <c r="AE6"/>
    </row>
    <row r="7" spans="1:31" x14ac:dyDescent="0.2">
      <c r="A7" s="53"/>
      <c r="B7" s="57"/>
      <c r="C7" s="57"/>
      <c r="D7" s="57"/>
      <c r="E7" s="57"/>
      <c r="F7" s="57"/>
      <c r="G7" s="57"/>
      <c r="H7" s="57"/>
      <c r="I7" s="57"/>
      <c r="J7" s="57"/>
      <c r="K7" s="57"/>
      <c r="L7" s="57"/>
      <c r="M7" s="57"/>
      <c r="N7" s="57"/>
      <c r="O7" s="61"/>
      <c r="P7" s="57"/>
      <c r="Q7" s="57"/>
      <c r="R7" s="57"/>
      <c r="S7" s="57"/>
      <c r="T7" s="57"/>
    </row>
    <row r="8" spans="1:31" ht="25.5" x14ac:dyDescent="0.2">
      <c r="A8" s="51" t="s">
        <v>285</v>
      </c>
      <c r="B8" s="58">
        <v>2</v>
      </c>
      <c r="C8" s="58">
        <v>1</v>
      </c>
      <c r="D8" s="58">
        <v>0</v>
      </c>
      <c r="E8" s="58">
        <v>4</v>
      </c>
      <c r="F8" s="58">
        <v>0</v>
      </c>
      <c r="G8" s="58">
        <v>0</v>
      </c>
      <c r="H8" s="58">
        <v>2</v>
      </c>
      <c r="I8" s="58">
        <v>0</v>
      </c>
      <c r="J8" s="58">
        <v>0</v>
      </c>
      <c r="K8" s="57"/>
      <c r="L8" s="58">
        <v>0</v>
      </c>
      <c r="M8" s="58">
        <v>0</v>
      </c>
      <c r="N8" s="58">
        <v>0</v>
      </c>
      <c r="O8" s="58">
        <v>0</v>
      </c>
      <c r="P8" s="58">
        <v>1</v>
      </c>
      <c r="Q8" s="58">
        <v>1</v>
      </c>
      <c r="R8" s="58">
        <v>0</v>
      </c>
      <c r="S8" s="58">
        <v>1</v>
      </c>
      <c r="T8" s="58">
        <v>4</v>
      </c>
    </row>
    <row r="9" spans="1:31" x14ac:dyDescent="0.2">
      <c r="A9" s="51" t="s">
        <v>291</v>
      </c>
      <c r="B9" s="57">
        <v>8</v>
      </c>
      <c r="C9" s="57">
        <v>8</v>
      </c>
      <c r="D9" s="57">
        <v>8</v>
      </c>
      <c r="E9" s="57">
        <v>8</v>
      </c>
      <c r="F9" s="57">
        <v>8</v>
      </c>
      <c r="G9" s="57">
        <v>8</v>
      </c>
      <c r="H9" s="57">
        <v>8</v>
      </c>
      <c r="I9" s="57">
        <v>8</v>
      </c>
      <c r="J9" s="57">
        <v>8</v>
      </c>
      <c r="K9" s="57"/>
      <c r="L9" s="57">
        <v>8</v>
      </c>
      <c r="M9" s="57">
        <v>8</v>
      </c>
      <c r="N9" s="57">
        <v>8</v>
      </c>
      <c r="O9" s="57">
        <v>8</v>
      </c>
      <c r="P9" s="57">
        <v>8</v>
      </c>
      <c r="Q9" s="57">
        <v>8</v>
      </c>
      <c r="R9" s="57">
        <v>8</v>
      </c>
      <c r="S9" s="57">
        <v>8</v>
      </c>
      <c r="T9" s="57">
        <v>8</v>
      </c>
    </row>
    <row r="10" spans="1:31" s="18" customFormat="1" x14ac:dyDescent="0.2">
      <c r="A10" s="52" t="s">
        <v>313</v>
      </c>
      <c r="B10" s="60">
        <f>B9*B8</f>
        <v>16</v>
      </c>
      <c r="C10" s="60">
        <f t="shared" ref="C10:T10" si="1">C9*C8</f>
        <v>8</v>
      </c>
      <c r="D10" s="60">
        <f t="shared" si="1"/>
        <v>0</v>
      </c>
      <c r="E10" s="60">
        <f t="shared" si="1"/>
        <v>32</v>
      </c>
      <c r="F10" s="60">
        <f t="shared" si="1"/>
        <v>0</v>
      </c>
      <c r="G10" s="60">
        <f t="shared" si="1"/>
        <v>0</v>
      </c>
      <c r="H10" s="60">
        <f t="shared" si="1"/>
        <v>16</v>
      </c>
      <c r="I10" s="60">
        <f t="shared" si="1"/>
        <v>0</v>
      </c>
      <c r="J10" s="60">
        <f t="shared" si="1"/>
        <v>0</v>
      </c>
      <c r="K10" s="60"/>
      <c r="L10" s="60">
        <f t="shared" si="1"/>
        <v>0</v>
      </c>
      <c r="M10" s="60">
        <f t="shared" si="1"/>
        <v>0</v>
      </c>
      <c r="N10" s="60">
        <f t="shared" si="1"/>
        <v>0</v>
      </c>
      <c r="O10" s="60">
        <f t="shared" si="1"/>
        <v>0</v>
      </c>
      <c r="P10" s="60">
        <f t="shared" si="1"/>
        <v>8</v>
      </c>
      <c r="Q10" s="60">
        <f t="shared" si="1"/>
        <v>8</v>
      </c>
      <c r="R10" s="60">
        <f t="shared" si="1"/>
        <v>0</v>
      </c>
      <c r="S10" s="60">
        <f t="shared" si="1"/>
        <v>8</v>
      </c>
      <c r="T10" s="60">
        <f t="shared" si="1"/>
        <v>32</v>
      </c>
      <c r="U10" s="18">
        <f>SUM(B10:T10)</f>
        <v>128</v>
      </c>
      <c r="X10"/>
      <c r="Y10"/>
      <c r="Z10"/>
      <c r="AA10"/>
      <c r="AB10"/>
      <c r="AC10"/>
      <c r="AD10"/>
      <c r="AE10"/>
    </row>
    <row r="11" spans="1:31" x14ac:dyDescent="0.2">
      <c r="A11" s="53"/>
      <c r="B11" s="57"/>
      <c r="C11" s="57"/>
      <c r="D11" s="57"/>
      <c r="E11" s="57"/>
      <c r="F11" s="57"/>
      <c r="G11" s="57"/>
      <c r="H11" s="57"/>
      <c r="I11" s="57"/>
      <c r="J11" s="57"/>
      <c r="K11" s="57"/>
      <c r="L11" s="57"/>
      <c r="M11" s="57"/>
      <c r="N11" s="57"/>
      <c r="O11" s="57"/>
      <c r="P11" s="57"/>
      <c r="Q11" s="57"/>
      <c r="R11" s="57"/>
      <c r="S11" s="57"/>
      <c r="T11" s="57"/>
    </row>
    <row r="12" spans="1:31" ht="25.5" x14ac:dyDescent="0.2">
      <c r="A12" s="51" t="s">
        <v>286</v>
      </c>
      <c r="B12" s="58">
        <v>0</v>
      </c>
      <c r="C12" s="58">
        <v>0</v>
      </c>
      <c r="D12" s="58">
        <v>0</v>
      </c>
      <c r="E12" s="58">
        <v>0</v>
      </c>
      <c r="F12" s="58">
        <v>0</v>
      </c>
      <c r="G12" s="58">
        <v>0</v>
      </c>
      <c r="H12" s="58">
        <v>0</v>
      </c>
      <c r="I12" s="58">
        <v>0</v>
      </c>
      <c r="J12" s="58">
        <v>0</v>
      </c>
      <c r="K12" s="57"/>
      <c r="L12" s="58">
        <v>1</v>
      </c>
      <c r="M12" s="58">
        <v>0</v>
      </c>
      <c r="N12" s="58">
        <v>0</v>
      </c>
      <c r="O12" s="58">
        <v>0</v>
      </c>
      <c r="P12" s="58">
        <v>0</v>
      </c>
      <c r="Q12" s="58">
        <v>0</v>
      </c>
      <c r="R12" s="58">
        <v>0</v>
      </c>
      <c r="S12" s="58">
        <v>0</v>
      </c>
      <c r="T12" s="58">
        <v>0</v>
      </c>
    </row>
    <row r="13" spans="1:31" x14ac:dyDescent="0.2">
      <c r="A13" s="51" t="s">
        <v>291</v>
      </c>
      <c r="B13" s="57">
        <v>17</v>
      </c>
      <c r="C13" s="57">
        <v>17</v>
      </c>
      <c r="D13" s="57">
        <v>17</v>
      </c>
      <c r="E13" s="57">
        <v>17</v>
      </c>
      <c r="F13" s="57">
        <v>17</v>
      </c>
      <c r="G13" s="57">
        <v>17</v>
      </c>
      <c r="H13" s="57">
        <v>17</v>
      </c>
      <c r="I13" s="57">
        <v>17</v>
      </c>
      <c r="J13" s="57">
        <v>17</v>
      </c>
      <c r="K13" s="57"/>
      <c r="L13" s="57">
        <v>17</v>
      </c>
      <c r="M13" s="57">
        <v>17</v>
      </c>
      <c r="N13" s="57">
        <v>17</v>
      </c>
      <c r="O13" s="57">
        <v>17</v>
      </c>
      <c r="P13" s="57">
        <v>17</v>
      </c>
      <c r="Q13" s="57">
        <v>17</v>
      </c>
      <c r="R13" s="57">
        <v>17</v>
      </c>
      <c r="S13" s="57">
        <v>17</v>
      </c>
      <c r="T13" s="57">
        <v>17</v>
      </c>
    </row>
    <row r="14" spans="1:31" s="18" customFormat="1" x14ac:dyDescent="0.2">
      <c r="A14" s="52" t="s">
        <v>313</v>
      </c>
      <c r="B14" s="60">
        <f>B13*B12</f>
        <v>0</v>
      </c>
      <c r="C14" s="60">
        <f t="shared" ref="C14:T14" si="2">C13*C12</f>
        <v>0</v>
      </c>
      <c r="D14" s="60">
        <f t="shared" si="2"/>
        <v>0</v>
      </c>
      <c r="E14" s="60">
        <f t="shared" si="2"/>
        <v>0</v>
      </c>
      <c r="F14" s="60">
        <f t="shared" si="2"/>
        <v>0</v>
      </c>
      <c r="G14" s="60">
        <f t="shared" si="2"/>
        <v>0</v>
      </c>
      <c r="H14" s="60">
        <f t="shared" si="2"/>
        <v>0</v>
      </c>
      <c r="I14" s="60">
        <f t="shared" si="2"/>
        <v>0</v>
      </c>
      <c r="J14" s="60">
        <f t="shared" si="2"/>
        <v>0</v>
      </c>
      <c r="K14" s="60"/>
      <c r="L14" s="60">
        <f t="shared" si="2"/>
        <v>17</v>
      </c>
      <c r="M14" s="60">
        <f t="shared" si="2"/>
        <v>0</v>
      </c>
      <c r="N14" s="60">
        <f t="shared" si="2"/>
        <v>0</v>
      </c>
      <c r="O14" s="60">
        <f t="shared" si="2"/>
        <v>0</v>
      </c>
      <c r="P14" s="60">
        <f t="shared" si="2"/>
        <v>0</v>
      </c>
      <c r="Q14" s="60">
        <f t="shared" si="2"/>
        <v>0</v>
      </c>
      <c r="R14" s="60">
        <f t="shared" si="2"/>
        <v>0</v>
      </c>
      <c r="S14" s="60">
        <f t="shared" si="2"/>
        <v>0</v>
      </c>
      <c r="T14" s="60">
        <f t="shared" si="2"/>
        <v>0</v>
      </c>
      <c r="U14" s="18">
        <f>SUM(B14:T14)</f>
        <v>17</v>
      </c>
      <c r="X14"/>
      <c r="Y14"/>
      <c r="Z14"/>
      <c r="AA14"/>
      <c r="AB14"/>
      <c r="AC14"/>
      <c r="AD14"/>
      <c r="AE14"/>
    </row>
    <row r="15" spans="1:31" x14ac:dyDescent="0.2">
      <c r="A15" s="53"/>
      <c r="B15" s="57"/>
      <c r="C15" s="57"/>
      <c r="D15" s="57"/>
      <c r="E15" s="57"/>
      <c r="F15" s="57"/>
      <c r="G15" s="57"/>
      <c r="H15" s="57"/>
      <c r="I15" s="57"/>
      <c r="J15" s="57"/>
      <c r="K15" s="57"/>
      <c r="L15" s="57"/>
      <c r="M15" s="57"/>
      <c r="N15" s="57"/>
      <c r="O15" s="57"/>
      <c r="P15" s="57"/>
      <c r="Q15" s="57"/>
      <c r="R15" s="57"/>
      <c r="S15" s="57"/>
      <c r="T15" s="57"/>
    </row>
    <row r="16" spans="1:31" ht="25.5" x14ac:dyDescent="0.2">
      <c r="A16" s="53" t="s">
        <v>38</v>
      </c>
      <c r="B16" s="58">
        <v>0</v>
      </c>
      <c r="C16" s="58">
        <v>0</v>
      </c>
      <c r="D16" s="58">
        <v>0</v>
      </c>
      <c r="E16" s="58">
        <v>0</v>
      </c>
      <c r="F16" s="58">
        <v>0</v>
      </c>
      <c r="G16" s="58">
        <v>0</v>
      </c>
      <c r="H16" s="58">
        <v>0</v>
      </c>
      <c r="I16" s="58">
        <v>0</v>
      </c>
      <c r="J16" s="58">
        <v>0</v>
      </c>
      <c r="K16" s="57"/>
      <c r="L16" s="58">
        <v>1</v>
      </c>
      <c r="M16" s="58">
        <v>0</v>
      </c>
      <c r="N16" s="58">
        <v>0</v>
      </c>
      <c r="O16" s="58">
        <v>0</v>
      </c>
      <c r="P16" s="58">
        <v>0</v>
      </c>
      <c r="Q16" s="58">
        <v>0</v>
      </c>
      <c r="R16" s="58">
        <v>0</v>
      </c>
      <c r="S16" s="58">
        <v>0</v>
      </c>
      <c r="T16" s="58">
        <v>0</v>
      </c>
    </row>
    <row r="17" spans="1:31" x14ac:dyDescent="0.2">
      <c r="A17" s="51" t="s">
        <v>291</v>
      </c>
      <c r="B17" s="57">
        <v>40</v>
      </c>
      <c r="C17" s="57">
        <v>40</v>
      </c>
      <c r="D17" s="57">
        <v>40</v>
      </c>
      <c r="E17" s="57">
        <v>40</v>
      </c>
      <c r="F17" s="57">
        <v>40</v>
      </c>
      <c r="G17" s="57">
        <v>40</v>
      </c>
      <c r="H17" s="57">
        <v>40</v>
      </c>
      <c r="I17" s="57">
        <v>40</v>
      </c>
      <c r="J17" s="57">
        <v>40</v>
      </c>
      <c r="K17" s="57"/>
      <c r="L17" s="57">
        <v>40</v>
      </c>
      <c r="M17" s="57">
        <v>40</v>
      </c>
      <c r="N17" s="57">
        <v>40</v>
      </c>
      <c r="O17" s="57">
        <v>40</v>
      </c>
      <c r="P17" s="57">
        <v>40</v>
      </c>
      <c r="Q17" s="57">
        <v>40</v>
      </c>
      <c r="R17" s="57">
        <v>40</v>
      </c>
      <c r="S17" s="57">
        <v>40</v>
      </c>
      <c r="T17" s="57">
        <v>40</v>
      </c>
    </row>
    <row r="18" spans="1:31" s="18" customFormat="1" x14ac:dyDescent="0.2">
      <c r="A18" s="52" t="s">
        <v>313</v>
      </c>
      <c r="B18" s="60">
        <f>B17*B16</f>
        <v>0</v>
      </c>
      <c r="C18" s="60">
        <f t="shared" ref="C18:T18" si="3">C17*C16</f>
        <v>0</v>
      </c>
      <c r="D18" s="60">
        <f t="shared" si="3"/>
        <v>0</v>
      </c>
      <c r="E18" s="60">
        <f t="shared" si="3"/>
        <v>0</v>
      </c>
      <c r="F18" s="60">
        <f t="shared" si="3"/>
        <v>0</v>
      </c>
      <c r="G18" s="60">
        <f t="shared" si="3"/>
        <v>0</v>
      </c>
      <c r="H18" s="60">
        <f t="shared" si="3"/>
        <v>0</v>
      </c>
      <c r="I18" s="60">
        <f t="shared" si="3"/>
        <v>0</v>
      </c>
      <c r="J18" s="60">
        <f t="shared" si="3"/>
        <v>0</v>
      </c>
      <c r="K18" s="60"/>
      <c r="L18" s="60">
        <f t="shared" si="3"/>
        <v>40</v>
      </c>
      <c r="M18" s="60">
        <f t="shared" si="3"/>
        <v>0</v>
      </c>
      <c r="N18" s="60">
        <f t="shared" si="3"/>
        <v>0</v>
      </c>
      <c r="O18" s="60">
        <f t="shared" si="3"/>
        <v>0</v>
      </c>
      <c r="P18" s="60">
        <f t="shared" si="3"/>
        <v>0</v>
      </c>
      <c r="Q18" s="60">
        <f t="shared" si="3"/>
        <v>0</v>
      </c>
      <c r="R18" s="60">
        <f t="shared" si="3"/>
        <v>0</v>
      </c>
      <c r="S18" s="60">
        <f t="shared" si="3"/>
        <v>0</v>
      </c>
      <c r="T18" s="60">
        <f t="shared" si="3"/>
        <v>0</v>
      </c>
      <c r="U18" s="18">
        <f>SUM(B18:T18)</f>
        <v>40</v>
      </c>
      <c r="X18"/>
      <c r="Y18"/>
      <c r="Z18"/>
      <c r="AA18"/>
      <c r="AB18"/>
      <c r="AC18"/>
      <c r="AD18"/>
      <c r="AE18"/>
    </row>
    <row r="19" spans="1:31" x14ac:dyDescent="0.2">
      <c r="A19" s="50"/>
      <c r="B19" s="57"/>
      <c r="C19" s="57"/>
      <c r="D19" s="57"/>
      <c r="E19" s="57"/>
      <c r="F19" s="57"/>
      <c r="G19" s="57"/>
      <c r="H19" s="57"/>
      <c r="I19" s="57"/>
      <c r="J19" s="57"/>
      <c r="K19" s="57"/>
      <c r="L19" s="57"/>
      <c r="M19" s="57"/>
      <c r="N19" s="57"/>
      <c r="O19" s="57"/>
      <c r="P19" s="57"/>
      <c r="Q19" s="57"/>
      <c r="R19" s="57"/>
      <c r="S19" s="57"/>
      <c r="T19" s="57"/>
    </row>
    <row r="20" spans="1:31" s="18" customFormat="1" ht="38.25" x14ac:dyDescent="0.2">
      <c r="A20" s="52" t="s">
        <v>319</v>
      </c>
      <c r="B20" s="96">
        <f>B18+B14+B10+B6</f>
        <v>57.25</v>
      </c>
      <c r="C20" s="96">
        <f t="shared" ref="C20:T20" si="4">C18+C14+C10+C6</f>
        <v>30</v>
      </c>
      <c r="D20" s="96">
        <f t="shared" si="4"/>
        <v>13.75</v>
      </c>
      <c r="E20" s="96">
        <f t="shared" si="4"/>
        <v>43</v>
      </c>
      <c r="F20" s="96">
        <f t="shared" si="4"/>
        <v>2.75</v>
      </c>
      <c r="G20" s="96">
        <f t="shared" si="4"/>
        <v>19.25</v>
      </c>
      <c r="H20" s="96">
        <f t="shared" si="4"/>
        <v>18.75</v>
      </c>
      <c r="I20" s="96">
        <f t="shared" si="4"/>
        <v>5.5</v>
      </c>
      <c r="J20" s="96">
        <f t="shared" si="4"/>
        <v>11</v>
      </c>
      <c r="K20" s="57"/>
      <c r="L20" s="96">
        <f t="shared" si="4"/>
        <v>59.75</v>
      </c>
      <c r="M20" s="96">
        <f t="shared" si="4"/>
        <v>5.5</v>
      </c>
      <c r="N20" s="96">
        <f t="shared" si="4"/>
        <v>88</v>
      </c>
      <c r="O20" s="96">
        <f t="shared" si="4"/>
        <v>110</v>
      </c>
      <c r="P20" s="96">
        <f t="shared" si="4"/>
        <v>57.5</v>
      </c>
      <c r="Q20" s="96">
        <f t="shared" si="4"/>
        <v>16.25</v>
      </c>
      <c r="R20" s="96">
        <f t="shared" si="4"/>
        <v>11</v>
      </c>
      <c r="S20" s="96">
        <f t="shared" si="4"/>
        <v>38.25</v>
      </c>
      <c r="T20" s="96">
        <f t="shared" si="4"/>
        <v>34.75</v>
      </c>
      <c r="U20" s="104">
        <f>SUM(B20:T20)</f>
        <v>622.25</v>
      </c>
      <c r="V20" s="18">
        <v>1300.4100000000001</v>
      </c>
      <c r="X20"/>
      <c r="Y20"/>
      <c r="Z20"/>
      <c r="AA20"/>
      <c r="AB20"/>
      <c r="AC20"/>
      <c r="AD20"/>
      <c r="AE20"/>
    </row>
    <row r="21" spans="1:31" s="18" customFormat="1" ht="38.25" x14ac:dyDescent="0.2">
      <c r="A21" s="66" t="s">
        <v>320</v>
      </c>
      <c r="B21" s="67">
        <v>40</v>
      </c>
      <c r="C21" s="67">
        <v>40</v>
      </c>
      <c r="D21" s="67">
        <v>40</v>
      </c>
      <c r="E21" s="67">
        <v>40</v>
      </c>
      <c r="F21" s="67">
        <v>40</v>
      </c>
      <c r="G21" s="67">
        <v>40</v>
      </c>
      <c r="H21" s="67">
        <v>40</v>
      </c>
      <c r="I21" s="67">
        <v>40</v>
      </c>
      <c r="J21" s="67">
        <v>40</v>
      </c>
      <c r="K21" s="67"/>
      <c r="L21" s="67">
        <v>40</v>
      </c>
      <c r="M21" s="67">
        <v>40</v>
      </c>
      <c r="N21" s="67">
        <v>40</v>
      </c>
      <c r="O21" s="67">
        <v>40</v>
      </c>
      <c r="P21" s="67">
        <v>40</v>
      </c>
      <c r="Q21" s="67">
        <v>40</v>
      </c>
      <c r="R21" s="67">
        <v>40</v>
      </c>
      <c r="S21" s="67">
        <v>40</v>
      </c>
      <c r="T21" s="67">
        <v>40</v>
      </c>
      <c r="X21"/>
      <c r="Y21"/>
      <c r="Z21"/>
      <c r="AA21"/>
      <c r="AB21"/>
      <c r="AC21"/>
      <c r="AD21"/>
      <c r="AE21"/>
    </row>
    <row r="22" spans="1:31" s="18" customFormat="1" ht="25.5" x14ac:dyDescent="0.2">
      <c r="A22" s="68" t="s">
        <v>321</v>
      </c>
      <c r="B22" s="69">
        <f>(B20+B21)/40</f>
        <v>2.4312499999999999</v>
      </c>
      <c r="C22" s="69">
        <f t="shared" ref="C22:T22" si="5">(C20+C21)/40</f>
        <v>1.75</v>
      </c>
      <c r="D22" s="69">
        <f>(D20+D21)/40</f>
        <v>1.34375</v>
      </c>
      <c r="E22" s="69">
        <f t="shared" si="5"/>
        <v>2.0750000000000002</v>
      </c>
      <c r="F22" s="69">
        <f t="shared" si="5"/>
        <v>1.0687500000000001</v>
      </c>
      <c r="G22" s="69">
        <f t="shared" si="5"/>
        <v>1.48125</v>
      </c>
      <c r="H22" s="69">
        <f t="shared" si="5"/>
        <v>1.46875</v>
      </c>
      <c r="I22" s="69">
        <f>(I20+I21)/40</f>
        <v>1.1375</v>
      </c>
      <c r="J22" s="69">
        <f t="shared" si="5"/>
        <v>1.2749999999999999</v>
      </c>
      <c r="K22" s="69"/>
      <c r="L22" s="69">
        <f t="shared" si="5"/>
        <v>2.4937499999999999</v>
      </c>
      <c r="M22" s="69">
        <f t="shared" si="5"/>
        <v>1.1375</v>
      </c>
      <c r="N22" s="69">
        <f t="shared" si="5"/>
        <v>3.2</v>
      </c>
      <c r="O22" s="69">
        <f t="shared" si="5"/>
        <v>3.75</v>
      </c>
      <c r="P22" s="69">
        <f t="shared" si="5"/>
        <v>2.4375</v>
      </c>
      <c r="Q22" s="69">
        <f t="shared" si="5"/>
        <v>1.40625</v>
      </c>
      <c r="R22" s="69">
        <f t="shared" si="5"/>
        <v>1.2749999999999999</v>
      </c>
      <c r="S22" s="69">
        <f t="shared" si="5"/>
        <v>1.95625</v>
      </c>
      <c r="T22" s="69">
        <f t="shared" si="5"/>
        <v>1.8687499999999999</v>
      </c>
      <c r="X22"/>
      <c r="Y22"/>
      <c r="Z22"/>
      <c r="AA22"/>
      <c r="AB22"/>
      <c r="AC22"/>
      <c r="AD22"/>
      <c r="AE22"/>
    </row>
    <row r="23" spans="1:31" s="48" customFormat="1" ht="54.75" customHeight="1" x14ac:dyDescent="0.2">
      <c r="A23" s="98" t="s">
        <v>322</v>
      </c>
      <c r="B23" s="99">
        <v>3.9099999999999993</v>
      </c>
      <c r="C23" s="99">
        <v>2.8809999999999998</v>
      </c>
      <c r="D23" s="99">
        <v>0.38049999999999995</v>
      </c>
      <c r="E23" s="99">
        <v>1.2925</v>
      </c>
      <c r="F23" s="99">
        <v>0.54600000000000004</v>
      </c>
      <c r="G23" s="99">
        <v>0.24249999999999999</v>
      </c>
      <c r="H23" s="99">
        <v>0.14350000000000002</v>
      </c>
      <c r="I23" s="99">
        <v>0.2455</v>
      </c>
      <c r="J23" s="99">
        <v>0.3785</v>
      </c>
      <c r="K23" s="69"/>
      <c r="L23" s="99">
        <v>1.9939999999999998</v>
      </c>
      <c r="M23" s="99">
        <v>8.3999999999999991E-2</v>
      </c>
      <c r="N23" s="99">
        <v>1.2885000000000002</v>
      </c>
      <c r="O23" s="99">
        <v>2.5720000000000001</v>
      </c>
      <c r="P23" s="99">
        <v>1.5075000000000001</v>
      </c>
      <c r="Q23" s="99">
        <v>0.1595</v>
      </c>
      <c r="R23" s="99">
        <v>0.41200000000000003</v>
      </c>
      <c r="S23" s="99">
        <v>0.65950000000000009</v>
      </c>
      <c r="T23" s="99">
        <v>2.4074999999999998</v>
      </c>
    </row>
    <row r="24" spans="1:31" s="48" customFormat="1" ht="54.75" customHeight="1" x14ac:dyDescent="0.2">
      <c r="A24" s="97" t="s">
        <v>323</v>
      </c>
      <c r="B24" s="100">
        <f>B23+B22</f>
        <v>6.3412499999999987</v>
      </c>
      <c r="C24" s="100">
        <f t="shared" ref="C24:T24" si="6">C23+C22</f>
        <v>4.6310000000000002</v>
      </c>
      <c r="D24" s="100">
        <f>D23+D22</f>
        <v>1.7242500000000001</v>
      </c>
      <c r="E24" s="100">
        <f t="shared" si="6"/>
        <v>3.3675000000000002</v>
      </c>
      <c r="F24" s="100">
        <f t="shared" si="6"/>
        <v>1.6147500000000001</v>
      </c>
      <c r="G24" s="100">
        <f t="shared" si="6"/>
        <v>1.7237499999999999</v>
      </c>
      <c r="H24" s="100">
        <f t="shared" si="6"/>
        <v>1.61225</v>
      </c>
      <c r="I24" s="100">
        <f t="shared" si="6"/>
        <v>1.383</v>
      </c>
      <c r="J24" s="100">
        <f t="shared" si="6"/>
        <v>1.6535</v>
      </c>
      <c r="K24" s="69"/>
      <c r="L24" s="100">
        <f t="shared" si="6"/>
        <v>4.4877500000000001</v>
      </c>
      <c r="M24" s="100">
        <f t="shared" si="6"/>
        <v>1.2215</v>
      </c>
      <c r="N24" s="100">
        <f t="shared" si="6"/>
        <v>4.4885000000000002</v>
      </c>
      <c r="O24" s="100">
        <f t="shared" si="6"/>
        <v>6.3220000000000001</v>
      </c>
      <c r="P24" s="100">
        <f t="shared" si="6"/>
        <v>3.9450000000000003</v>
      </c>
      <c r="Q24" s="100">
        <f t="shared" si="6"/>
        <v>1.56575</v>
      </c>
      <c r="R24" s="100">
        <f t="shared" si="6"/>
        <v>1.6869999999999998</v>
      </c>
      <c r="S24" s="100">
        <f t="shared" si="6"/>
        <v>2.6157500000000002</v>
      </c>
      <c r="T24" s="100">
        <f t="shared" si="6"/>
        <v>4.2762499999999992</v>
      </c>
    </row>
    <row r="25" spans="1:31" ht="25.5" x14ac:dyDescent="0.2">
      <c r="A25" s="51" t="s">
        <v>40</v>
      </c>
      <c r="B25" s="62">
        <f>B24*7</f>
        <v>44.388749999999987</v>
      </c>
      <c r="C25" s="62">
        <f t="shared" ref="C25:T25" si="7">C24*7</f>
        <v>32.417000000000002</v>
      </c>
      <c r="D25" s="62">
        <f>D24*7</f>
        <v>12.069750000000001</v>
      </c>
      <c r="E25" s="62">
        <f t="shared" si="7"/>
        <v>23.572500000000002</v>
      </c>
      <c r="F25" s="62">
        <f t="shared" si="7"/>
        <v>11.30325</v>
      </c>
      <c r="G25" s="62">
        <f t="shared" si="7"/>
        <v>12.06625</v>
      </c>
      <c r="H25" s="62">
        <f t="shared" si="7"/>
        <v>11.28575</v>
      </c>
      <c r="I25" s="62">
        <f t="shared" si="7"/>
        <v>9.6810000000000009</v>
      </c>
      <c r="J25" s="62">
        <f t="shared" si="7"/>
        <v>11.5745</v>
      </c>
      <c r="K25" s="62"/>
      <c r="L25" s="62">
        <f t="shared" si="7"/>
        <v>31.414250000000003</v>
      </c>
      <c r="M25" s="62">
        <f t="shared" si="7"/>
        <v>8.5504999999999995</v>
      </c>
      <c r="N25" s="62">
        <f t="shared" si="7"/>
        <v>31.419499999999999</v>
      </c>
      <c r="O25" s="62">
        <f t="shared" si="7"/>
        <v>44.253999999999998</v>
      </c>
      <c r="P25" s="62">
        <f t="shared" si="7"/>
        <v>27.615000000000002</v>
      </c>
      <c r="Q25" s="62">
        <f t="shared" si="7"/>
        <v>10.96025</v>
      </c>
      <c r="R25" s="62">
        <f t="shared" si="7"/>
        <v>11.808999999999999</v>
      </c>
      <c r="S25" s="62">
        <f t="shared" si="7"/>
        <v>18.310250000000003</v>
      </c>
      <c r="T25" s="62">
        <f t="shared" si="7"/>
        <v>29.933749999999996</v>
      </c>
    </row>
    <row r="26" spans="1:31" ht="25.5" x14ac:dyDescent="0.2">
      <c r="A26" s="51" t="s">
        <v>292</v>
      </c>
      <c r="B26" s="62">
        <f>B25*3</f>
        <v>133.16624999999996</v>
      </c>
      <c r="C26" s="62">
        <f t="shared" ref="C26:T26" si="8">C25*3</f>
        <v>97.251000000000005</v>
      </c>
      <c r="D26" s="62">
        <f t="shared" si="8"/>
        <v>36.209250000000004</v>
      </c>
      <c r="E26" s="62">
        <f t="shared" si="8"/>
        <v>70.717500000000001</v>
      </c>
      <c r="F26" s="62">
        <f t="shared" si="8"/>
        <v>33.909750000000003</v>
      </c>
      <c r="G26" s="62">
        <f t="shared" si="8"/>
        <v>36.198750000000004</v>
      </c>
      <c r="H26" s="62">
        <f t="shared" si="8"/>
        <v>33.857250000000001</v>
      </c>
      <c r="I26" s="62">
        <f t="shared" si="8"/>
        <v>29.043000000000003</v>
      </c>
      <c r="J26" s="62">
        <f t="shared" si="8"/>
        <v>34.723500000000001</v>
      </c>
      <c r="K26" s="62"/>
      <c r="L26" s="62">
        <f t="shared" si="8"/>
        <v>94.242750000000001</v>
      </c>
      <c r="M26" s="62">
        <f t="shared" si="8"/>
        <v>25.651499999999999</v>
      </c>
      <c r="N26" s="62">
        <f t="shared" si="8"/>
        <v>94.258499999999998</v>
      </c>
      <c r="O26" s="62">
        <f t="shared" si="8"/>
        <v>132.762</v>
      </c>
      <c r="P26" s="62">
        <f t="shared" si="8"/>
        <v>82.844999999999999</v>
      </c>
      <c r="Q26" s="62">
        <f t="shared" si="8"/>
        <v>32.880749999999999</v>
      </c>
      <c r="R26" s="62">
        <f t="shared" si="8"/>
        <v>35.427</v>
      </c>
      <c r="S26" s="62">
        <f t="shared" si="8"/>
        <v>54.93075000000001</v>
      </c>
      <c r="T26" s="62">
        <f t="shared" si="8"/>
        <v>89.801249999999982</v>
      </c>
    </row>
    <row r="27" spans="1:31" s="2" customFormat="1" x14ac:dyDescent="0.2">
      <c r="A27" s="71" t="s">
        <v>42</v>
      </c>
      <c r="B27" s="70">
        <f>AVERAGE(123,96,103,141)</f>
        <v>115.75</v>
      </c>
      <c r="C27" s="70">
        <f>AVERAGE(131,151,98,96,124)</f>
        <v>120</v>
      </c>
      <c r="D27" s="70">
        <f>AVERAGE(147,96,108,232,126,182)</f>
        <v>148.5</v>
      </c>
      <c r="E27" s="70">
        <f>AVERAGE(147,96,108,182,110,136)</f>
        <v>129.83333333333334</v>
      </c>
      <c r="F27" s="70">
        <f>AVERAGE(161,222,245,140,128)</f>
        <v>179.2</v>
      </c>
      <c r="G27" s="70">
        <f>AVERAGE(180,138,96,151)</f>
        <v>141.25</v>
      </c>
      <c r="H27" s="70">
        <f>AVERAGE(180,138,96,151)</f>
        <v>141.25</v>
      </c>
      <c r="I27" s="70">
        <f>AVERAGE(183,134,161)</f>
        <v>159.33333333333334</v>
      </c>
      <c r="J27" s="70">
        <f>AVERAGE(136,99)</f>
        <v>117.5</v>
      </c>
      <c r="K27" s="62"/>
      <c r="L27" s="70">
        <f>AVERAGE(107,143,121)</f>
        <v>123.66666666666667</v>
      </c>
      <c r="M27" s="70">
        <f>AVERAGE(207,127,141)</f>
        <v>158.33333333333334</v>
      </c>
      <c r="N27" s="70">
        <f>AVERAGE(123,309,158,163)</f>
        <v>188.25</v>
      </c>
      <c r="O27" s="70">
        <f>AVERAGE(109,99,151,117)</f>
        <v>119</v>
      </c>
      <c r="P27" s="70">
        <f>AVERAGE(109,103,198,128)</f>
        <v>134.5</v>
      </c>
      <c r="Q27" s="70">
        <f>AVERAGE(161,126,120,137)</f>
        <v>136</v>
      </c>
      <c r="R27" s="70">
        <f>AVERAGE(96,141,218,105)</f>
        <v>140</v>
      </c>
      <c r="S27" s="70">
        <f>AVERAGE(165,148,133,96)</f>
        <v>135.5</v>
      </c>
      <c r="T27" s="70">
        <f>AVERAGE(111,96,141,218)</f>
        <v>141.5</v>
      </c>
    </row>
    <row r="28" spans="1:31" s="75" customFormat="1" ht="25.5" x14ac:dyDescent="0.2">
      <c r="A28" s="72" t="s">
        <v>48</v>
      </c>
      <c r="B28" s="73">
        <f>B27*B26</f>
        <v>15413.993437499996</v>
      </c>
      <c r="C28" s="73">
        <f t="shared" ref="C28:J28" si="9">C27*C26</f>
        <v>11670.12</v>
      </c>
      <c r="D28" s="73">
        <f>D27*D26</f>
        <v>5377.0736250000009</v>
      </c>
      <c r="E28" s="73">
        <f t="shared" si="9"/>
        <v>9181.4887500000004</v>
      </c>
      <c r="F28" s="73">
        <f>F27*F26</f>
        <v>6076.6271999999999</v>
      </c>
      <c r="G28" s="73">
        <f>G27*G26</f>
        <v>5113.0734375000002</v>
      </c>
      <c r="H28" s="73">
        <f>H27*H26</f>
        <v>4782.3365624999997</v>
      </c>
      <c r="I28" s="73">
        <f t="shared" si="9"/>
        <v>4627.5180000000009</v>
      </c>
      <c r="J28" s="73">
        <f t="shared" si="9"/>
        <v>4080.01125</v>
      </c>
      <c r="K28" s="74"/>
      <c r="L28" s="73">
        <f t="shared" ref="L28:S28" si="10">L27*L26</f>
        <v>11654.686750000001</v>
      </c>
      <c r="M28" s="73">
        <f t="shared" si="10"/>
        <v>4061.4875000000002</v>
      </c>
      <c r="N28" s="73">
        <f t="shared" si="10"/>
        <v>17744.162625000001</v>
      </c>
      <c r="O28" s="73">
        <f t="shared" si="10"/>
        <v>15798.678</v>
      </c>
      <c r="P28" s="73">
        <f t="shared" si="10"/>
        <v>11142.6525</v>
      </c>
      <c r="Q28" s="73">
        <f t="shared" si="10"/>
        <v>4471.7820000000002</v>
      </c>
      <c r="R28" s="73">
        <f t="shared" si="10"/>
        <v>4959.78</v>
      </c>
      <c r="S28" s="73">
        <f t="shared" si="10"/>
        <v>7443.1166250000015</v>
      </c>
      <c r="T28" s="73">
        <f>T27*T26</f>
        <v>12706.876874999998</v>
      </c>
    </row>
    <row r="29" spans="1:31" s="75" customFormat="1" x14ac:dyDescent="0.2">
      <c r="A29" s="72" t="s">
        <v>49</v>
      </c>
      <c r="B29" s="76">
        <f>(B22)*50</f>
        <v>121.5625</v>
      </c>
      <c r="C29" s="76">
        <f t="shared" ref="C29:T29" si="11">(C22)*50</f>
        <v>87.5</v>
      </c>
      <c r="D29" s="76">
        <f>(D22)*50</f>
        <v>67.1875</v>
      </c>
      <c r="E29" s="76">
        <f t="shared" si="11"/>
        <v>103.75000000000001</v>
      </c>
      <c r="F29" s="76">
        <f t="shared" si="11"/>
        <v>53.437500000000007</v>
      </c>
      <c r="G29" s="76">
        <f t="shared" si="11"/>
        <v>74.0625</v>
      </c>
      <c r="H29" s="76">
        <f t="shared" si="11"/>
        <v>73.4375</v>
      </c>
      <c r="I29" s="76">
        <f t="shared" si="11"/>
        <v>56.875</v>
      </c>
      <c r="J29" s="76">
        <f t="shared" si="11"/>
        <v>63.749999999999993</v>
      </c>
      <c r="K29" s="76"/>
      <c r="L29" s="76">
        <f t="shared" si="11"/>
        <v>124.6875</v>
      </c>
      <c r="M29" s="76">
        <f t="shared" si="11"/>
        <v>56.875</v>
      </c>
      <c r="N29" s="76">
        <f t="shared" si="11"/>
        <v>160</v>
      </c>
      <c r="O29" s="76">
        <f t="shared" si="11"/>
        <v>187.5</v>
      </c>
      <c r="P29" s="76">
        <f t="shared" si="11"/>
        <v>121.875</v>
      </c>
      <c r="Q29" s="76">
        <f t="shared" si="11"/>
        <v>70.3125</v>
      </c>
      <c r="R29" s="76">
        <f t="shared" si="11"/>
        <v>63.749999999999993</v>
      </c>
      <c r="S29" s="76">
        <f t="shared" si="11"/>
        <v>97.8125</v>
      </c>
      <c r="T29" s="76">
        <f t="shared" si="11"/>
        <v>93.4375</v>
      </c>
    </row>
    <row r="30" spans="1:31" s="75" customFormat="1" x14ac:dyDescent="0.2">
      <c r="A30" s="77"/>
      <c r="B30" s="74"/>
      <c r="C30" s="74"/>
      <c r="D30" s="74"/>
      <c r="E30" s="74"/>
      <c r="F30" s="74"/>
      <c r="G30" s="74"/>
      <c r="H30" s="74"/>
      <c r="I30" s="74"/>
      <c r="J30" s="74"/>
      <c r="K30" s="74"/>
      <c r="L30" s="74"/>
      <c r="M30" s="74"/>
      <c r="N30" s="74"/>
      <c r="O30" s="74"/>
      <c r="P30" s="74"/>
      <c r="Q30" s="74"/>
      <c r="R30" s="74"/>
      <c r="S30" s="74"/>
      <c r="T30" s="74"/>
    </row>
    <row r="31" spans="1:31" s="75" customFormat="1" x14ac:dyDescent="0.2">
      <c r="A31" s="72" t="s">
        <v>43</v>
      </c>
      <c r="B31" s="76">
        <f>((B22)*43.75)*5</f>
        <v>531.8359375</v>
      </c>
      <c r="C31" s="76">
        <f t="shared" ref="C31:T31" si="12">((C22)*43.75)*5</f>
        <v>382.8125</v>
      </c>
      <c r="D31" s="76">
        <f t="shared" si="12"/>
        <v>293.9453125</v>
      </c>
      <c r="E31" s="76">
        <f t="shared" si="12"/>
        <v>453.90625000000006</v>
      </c>
      <c r="F31" s="76">
        <f t="shared" si="12"/>
        <v>233.78906250000003</v>
      </c>
      <c r="G31" s="76">
        <f t="shared" si="12"/>
        <v>324.0234375</v>
      </c>
      <c r="H31" s="76">
        <f t="shared" si="12"/>
        <v>321.2890625</v>
      </c>
      <c r="I31" s="76">
        <f t="shared" si="12"/>
        <v>248.828125</v>
      </c>
      <c r="J31" s="76">
        <f t="shared" si="12"/>
        <v>278.90624999999994</v>
      </c>
      <c r="K31" s="76"/>
      <c r="L31" s="76">
        <f t="shared" si="12"/>
        <v>545.5078125</v>
      </c>
      <c r="M31" s="76">
        <f t="shared" si="12"/>
        <v>248.828125</v>
      </c>
      <c r="N31" s="76">
        <f t="shared" si="12"/>
        <v>700</v>
      </c>
      <c r="O31" s="76">
        <f t="shared" si="12"/>
        <v>820.3125</v>
      </c>
      <c r="P31" s="76">
        <f t="shared" si="12"/>
        <v>533.203125</v>
      </c>
      <c r="Q31" s="76">
        <f t="shared" si="12"/>
        <v>307.6171875</v>
      </c>
      <c r="R31" s="76">
        <f t="shared" si="12"/>
        <v>278.90624999999994</v>
      </c>
      <c r="S31" s="76">
        <f t="shared" si="12"/>
        <v>427.9296875</v>
      </c>
      <c r="T31" s="76">
        <f t="shared" si="12"/>
        <v>408.7890625</v>
      </c>
    </row>
    <row r="32" spans="1:31" s="75" customFormat="1" x14ac:dyDescent="0.2">
      <c r="A32" s="72" t="s">
        <v>47</v>
      </c>
      <c r="B32" s="76">
        <f>(100*5)*(B22)</f>
        <v>1215.625</v>
      </c>
      <c r="C32" s="76">
        <f t="shared" ref="C32:T32" si="13">(100*5)*(C22)</f>
        <v>875</v>
      </c>
      <c r="D32" s="76">
        <f t="shared" si="13"/>
        <v>671.875</v>
      </c>
      <c r="E32" s="76">
        <f t="shared" si="13"/>
        <v>1037.5</v>
      </c>
      <c r="F32" s="76">
        <f>(100*5)*(F22)</f>
        <v>534.375</v>
      </c>
      <c r="G32" s="76">
        <f t="shared" si="13"/>
        <v>740.625</v>
      </c>
      <c r="H32" s="76">
        <f t="shared" si="13"/>
        <v>734.375</v>
      </c>
      <c r="I32" s="76">
        <f t="shared" si="13"/>
        <v>568.75</v>
      </c>
      <c r="J32" s="76">
        <f t="shared" si="13"/>
        <v>637.5</v>
      </c>
      <c r="K32" s="76"/>
      <c r="L32" s="76">
        <f t="shared" si="13"/>
        <v>1246.875</v>
      </c>
      <c r="M32" s="76">
        <f t="shared" si="13"/>
        <v>568.75</v>
      </c>
      <c r="N32" s="76">
        <f t="shared" si="13"/>
        <v>1600</v>
      </c>
      <c r="O32" s="76">
        <f t="shared" si="13"/>
        <v>1875</v>
      </c>
      <c r="P32" s="76">
        <f t="shared" si="13"/>
        <v>1218.75</v>
      </c>
      <c r="Q32" s="76">
        <f t="shared" si="13"/>
        <v>703.125</v>
      </c>
      <c r="R32" s="76">
        <f t="shared" si="13"/>
        <v>637.5</v>
      </c>
      <c r="S32" s="76">
        <f>(100*5)*(S22)</f>
        <v>978.125</v>
      </c>
      <c r="T32" s="76">
        <f t="shared" si="13"/>
        <v>934.375</v>
      </c>
    </row>
    <row r="33" spans="1:20" s="75" customFormat="1" x14ac:dyDescent="0.2">
      <c r="A33" s="77"/>
      <c r="B33" s="74"/>
      <c r="C33" s="74"/>
      <c r="D33" s="74"/>
      <c r="E33" s="74"/>
      <c r="F33" s="74"/>
      <c r="G33" s="74"/>
      <c r="H33" s="74"/>
      <c r="I33" s="74"/>
      <c r="J33" s="74"/>
      <c r="K33" s="74"/>
      <c r="L33" s="74"/>
      <c r="M33" s="74"/>
      <c r="N33" s="74"/>
      <c r="O33" s="74"/>
      <c r="P33" s="74"/>
      <c r="Q33" s="74"/>
      <c r="R33" s="74"/>
      <c r="S33" s="74"/>
      <c r="T33" s="74"/>
    </row>
    <row r="34" spans="1:20" s="75" customFormat="1" x14ac:dyDescent="0.2">
      <c r="A34" s="78" t="s">
        <v>44</v>
      </c>
      <c r="B34" s="73">
        <f>B28+B31+B32+B29</f>
        <v>17283.016874999994</v>
      </c>
      <c r="C34" s="73">
        <f t="shared" ref="C34:J34" si="14">C28+C31+C32+C29</f>
        <v>13015.432500000001</v>
      </c>
      <c r="D34" s="73">
        <f t="shared" si="14"/>
        <v>6410.0814375000009</v>
      </c>
      <c r="E34" s="73">
        <f t="shared" si="14"/>
        <v>10776.645</v>
      </c>
      <c r="F34" s="73">
        <f t="shared" si="14"/>
        <v>6898.2287624999999</v>
      </c>
      <c r="G34" s="73">
        <f>G28+G31+G32+G29</f>
        <v>6251.7843750000002</v>
      </c>
      <c r="H34" s="73">
        <f>H28+H31+H32+H29</f>
        <v>5911.4381249999997</v>
      </c>
      <c r="I34" s="73">
        <f>I28+I31+I32+I29</f>
        <v>5501.9711250000009</v>
      </c>
      <c r="J34" s="73">
        <f t="shared" si="14"/>
        <v>5060.1674999999996</v>
      </c>
      <c r="K34" s="74"/>
      <c r="L34" s="73">
        <f t="shared" ref="L34:S34" si="15">L28+L31+L32+L29</f>
        <v>13571.757062500001</v>
      </c>
      <c r="M34" s="73">
        <f t="shared" si="15"/>
        <v>4935.9406250000002</v>
      </c>
      <c r="N34" s="73">
        <f t="shared" si="15"/>
        <v>20204.162625000001</v>
      </c>
      <c r="O34" s="73">
        <f t="shared" si="15"/>
        <v>18681.4905</v>
      </c>
      <c r="P34" s="73">
        <f t="shared" si="15"/>
        <v>13016.480625</v>
      </c>
      <c r="Q34" s="73">
        <f t="shared" si="15"/>
        <v>5552.8366875000002</v>
      </c>
      <c r="R34" s="73">
        <f t="shared" si="15"/>
        <v>5939.9362499999997</v>
      </c>
      <c r="S34" s="73">
        <f t="shared" si="15"/>
        <v>8946.9838125000024</v>
      </c>
      <c r="T34" s="73">
        <f t="shared" ref="T34" si="16">T28+T31+T32+T29</f>
        <v>14143.478437499998</v>
      </c>
    </row>
    <row r="35" spans="1:20" s="75" customFormat="1" x14ac:dyDescent="0.2">
      <c r="A35" s="78" t="s">
        <v>45</v>
      </c>
      <c r="B35" s="73">
        <f>ROUNDUP(B34,-2)</f>
        <v>17300</v>
      </c>
      <c r="C35" s="73">
        <f t="shared" ref="C35:J35" si="17">ROUNDUP(C34,-2)</f>
        <v>13100</v>
      </c>
      <c r="D35" s="73">
        <f t="shared" si="17"/>
        <v>6500</v>
      </c>
      <c r="E35" s="73">
        <f t="shared" si="17"/>
        <v>10800</v>
      </c>
      <c r="F35" s="73">
        <f t="shared" si="17"/>
        <v>6900</v>
      </c>
      <c r="G35" s="73">
        <f t="shared" si="17"/>
        <v>6300</v>
      </c>
      <c r="H35" s="73">
        <f>ROUNDUP(H34,-2)</f>
        <v>6000</v>
      </c>
      <c r="I35" s="73">
        <f>ROUNDUP(I34,-2)</f>
        <v>5600</v>
      </c>
      <c r="J35" s="73">
        <f t="shared" si="17"/>
        <v>5100</v>
      </c>
      <c r="K35" s="74"/>
      <c r="L35" s="73">
        <f t="shared" ref="L35:S35" si="18">ROUNDUP(L34,-2)</f>
        <v>13600</v>
      </c>
      <c r="M35" s="73">
        <f t="shared" si="18"/>
        <v>5000</v>
      </c>
      <c r="N35" s="73">
        <f t="shared" si="18"/>
        <v>20300</v>
      </c>
      <c r="O35" s="73">
        <f t="shared" si="18"/>
        <v>18700</v>
      </c>
      <c r="P35" s="73">
        <f t="shared" si="18"/>
        <v>13100</v>
      </c>
      <c r="Q35" s="73">
        <f t="shared" si="18"/>
        <v>5600</v>
      </c>
      <c r="R35" s="73">
        <f t="shared" si="18"/>
        <v>6000</v>
      </c>
      <c r="S35" s="73">
        <f t="shared" si="18"/>
        <v>9000</v>
      </c>
      <c r="T35" s="73">
        <f t="shared" ref="T35" si="19">ROUNDUP(T34,-2)</f>
        <v>14200</v>
      </c>
    </row>
    <row r="37" spans="1:20" x14ac:dyDescent="0.2">
      <c r="E37" s="1"/>
    </row>
    <row r="41" spans="1:20" x14ac:dyDescent="0.2">
      <c r="A41" s="1" t="s">
        <v>84</v>
      </c>
    </row>
    <row r="42" spans="1:20" x14ac:dyDescent="0.2">
      <c r="A42" s="1" t="s">
        <v>436</v>
      </c>
    </row>
    <row r="43" spans="1:20" x14ac:dyDescent="0.2">
      <c r="A43" s="1" t="s">
        <v>76</v>
      </c>
    </row>
    <row r="44" spans="1:20" x14ac:dyDescent="0.2">
      <c r="A44" s="1" t="s">
        <v>36</v>
      </c>
    </row>
    <row r="45" spans="1:20" x14ac:dyDescent="0.2">
      <c r="A45" s="1" t="s">
        <v>85</v>
      </c>
    </row>
    <row r="46" spans="1:20" x14ac:dyDescent="0.2">
      <c r="A46" s="1" t="s">
        <v>41</v>
      </c>
    </row>
    <row r="47" spans="1:20" x14ac:dyDescent="0.2">
      <c r="A47" s="1" t="s">
        <v>75</v>
      </c>
    </row>
    <row r="49" spans="1:2" x14ac:dyDescent="0.2">
      <c r="A49" t="s">
        <v>314</v>
      </c>
    </row>
    <row r="50" spans="1:2" x14ac:dyDescent="0.2">
      <c r="A50" s="1" t="s">
        <v>288</v>
      </c>
      <c r="B50" s="1" t="s">
        <v>315</v>
      </c>
    </row>
    <row r="51" spans="1:2" x14ac:dyDescent="0.2">
      <c r="A51" s="1" t="s">
        <v>287</v>
      </c>
      <c r="B51" s="1" t="s">
        <v>316</v>
      </c>
    </row>
    <row r="52" spans="1:2" x14ac:dyDescent="0.2">
      <c r="A52" s="1" t="s">
        <v>289</v>
      </c>
      <c r="B52" s="1" t="s">
        <v>317</v>
      </c>
    </row>
    <row r="53" spans="1:2" x14ac:dyDescent="0.2">
      <c r="A53" s="1" t="s">
        <v>290</v>
      </c>
      <c r="B53" s="1" t="s">
        <v>318</v>
      </c>
    </row>
  </sheetData>
  <phoneticPr fontId="1" type="noConversion"/>
  <pageMargins left="0.75" right="0.75" top="1" bottom="1" header="0.5" footer="0.5"/>
  <pageSetup orientation="portrait" horizontalDpi="1200" verticalDpi="12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2BA28-573C-4FBE-BA27-7C512122E698}">
  <dimension ref="A1:K206"/>
  <sheetViews>
    <sheetView topLeftCell="A70" zoomScaleNormal="100" workbookViewId="0">
      <selection activeCell="A107" sqref="A107"/>
    </sheetView>
  </sheetViews>
  <sheetFormatPr defaultRowHeight="12.75" x14ac:dyDescent="0.2"/>
  <cols>
    <col min="1" max="1" width="10.140625" customWidth="1"/>
    <col min="2" max="2" width="29.7109375" customWidth="1"/>
    <col min="3" max="3" width="38.42578125" customWidth="1"/>
    <col min="4" max="4" width="19.28515625" customWidth="1"/>
    <col min="5" max="5" width="17.7109375" customWidth="1"/>
    <col min="6" max="8" width="19.5703125" customWidth="1"/>
    <col min="9" max="9" width="20.5703125" customWidth="1"/>
    <col min="10" max="10" width="24.5703125" customWidth="1"/>
  </cols>
  <sheetData>
    <row r="1" spans="1:10" ht="30" x14ac:dyDescent="0.2">
      <c r="A1" s="35"/>
      <c r="B1" s="36" t="s">
        <v>77</v>
      </c>
      <c r="C1" s="37" t="s">
        <v>114</v>
      </c>
      <c r="D1" s="37" t="s">
        <v>298</v>
      </c>
      <c r="E1" s="37" t="s">
        <v>413</v>
      </c>
      <c r="F1" s="161" t="s">
        <v>415</v>
      </c>
      <c r="G1" s="161" t="s">
        <v>416</v>
      </c>
      <c r="H1" s="161" t="s">
        <v>417</v>
      </c>
      <c r="I1" s="37" t="s">
        <v>299</v>
      </c>
      <c r="J1" s="95" t="s">
        <v>305</v>
      </c>
    </row>
    <row r="2" spans="1:10" ht="15" x14ac:dyDescent="0.25">
      <c r="A2" s="123" t="s">
        <v>78</v>
      </c>
      <c r="B2" s="123" t="s">
        <v>79</v>
      </c>
      <c r="C2" s="124" t="s">
        <v>115</v>
      </c>
      <c r="D2" s="124">
        <v>8</v>
      </c>
      <c r="E2" s="124" t="s">
        <v>414</v>
      </c>
      <c r="F2" s="124"/>
      <c r="G2" s="124"/>
      <c r="H2" s="124"/>
      <c r="I2" s="124">
        <v>1300952</v>
      </c>
      <c r="J2" s="163" t="s">
        <v>303</v>
      </c>
    </row>
    <row r="3" spans="1:10" ht="15" x14ac:dyDescent="0.25">
      <c r="A3" s="38"/>
      <c r="B3" s="123">
        <v>17</v>
      </c>
      <c r="C3" s="124" t="s">
        <v>116</v>
      </c>
      <c r="D3" s="124">
        <v>9</v>
      </c>
      <c r="E3" s="124" t="s">
        <v>414</v>
      </c>
      <c r="F3" s="124"/>
      <c r="G3" s="124"/>
      <c r="H3" s="124"/>
      <c r="I3" s="124">
        <v>851667</v>
      </c>
      <c r="J3" s="163" t="s">
        <v>303</v>
      </c>
    </row>
    <row r="4" spans="1:10" ht="15" x14ac:dyDescent="0.25">
      <c r="A4" s="38"/>
      <c r="B4" s="123"/>
      <c r="C4" s="124" t="s">
        <v>117</v>
      </c>
      <c r="D4" s="124">
        <v>16</v>
      </c>
      <c r="E4" s="124" t="s">
        <v>414</v>
      </c>
      <c r="F4" s="124"/>
      <c r="G4" s="124"/>
      <c r="H4" s="124"/>
      <c r="I4" s="124">
        <v>1977707</v>
      </c>
      <c r="J4" s="163" t="s">
        <v>303</v>
      </c>
    </row>
    <row r="5" spans="1:10" ht="15" x14ac:dyDescent="0.25">
      <c r="A5" s="38"/>
      <c r="B5" s="123"/>
      <c r="C5" s="188" t="s">
        <v>118</v>
      </c>
      <c r="D5" s="188">
        <v>1</v>
      </c>
      <c r="E5" s="188" t="s">
        <v>411</v>
      </c>
      <c r="F5" s="124">
        <v>0</v>
      </c>
      <c r="G5" s="124">
        <v>1</v>
      </c>
      <c r="H5" s="124">
        <v>2</v>
      </c>
      <c r="I5" s="124">
        <v>458602</v>
      </c>
      <c r="J5" s="124" t="s">
        <v>303</v>
      </c>
    </row>
    <row r="6" spans="1:10" ht="15" x14ac:dyDescent="0.25">
      <c r="A6" s="38"/>
      <c r="B6" s="123"/>
      <c r="C6" s="124" t="s">
        <v>119</v>
      </c>
      <c r="D6" s="124">
        <v>5</v>
      </c>
      <c r="E6" s="124" t="s">
        <v>414</v>
      </c>
      <c r="F6" s="124"/>
      <c r="G6" s="124"/>
      <c r="H6" s="124"/>
      <c r="I6" s="124">
        <v>394212</v>
      </c>
      <c r="J6" s="124" t="s">
        <v>303</v>
      </c>
    </row>
    <row r="7" spans="1:10" ht="15" x14ac:dyDescent="0.25">
      <c r="A7" s="38"/>
      <c r="B7" s="123"/>
      <c r="C7" s="188" t="s">
        <v>120</v>
      </c>
      <c r="D7" s="188">
        <v>1</v>
      </c>
      <c r="E7" s="188" t="s">
        <v>411</v>
      </c>
      <c r="F7" s="124">
        <v>0</v>
      </c>
      <c r="G7" s="124">
        <v>0</v>
      </c>
      <c r="H7" s="124">
        <v>1</v>
      </c>
      <c r="I7" s="124">
        <v>872995</v>
      </c>
      <c r="J7" s="124" t="s">
        <v>303</v>
      </c>
    </row>
    <row r="8" spans="1:10" ht="15" x14ac:dyDescent="0.25">
      <c r="A8" s="38"/>
      <c r="B8" s="123"/>
      <c r="C8" s="188" t="s">
        <v>121</v>
      </c>
      <c r="D8" s="188">
        <v>1</v>
      </c>
      <c r="E8" s="188" t="s">
        <v>411</v>
      </c>
      <c r="F8" s="124">
        <v>0</v>
      </c>
      <c r="G8" s="124">
        <v>0</v>
      </c>
      <c r="H8" s="124">
        <v>7</v>
      </c>
      <c r="I8" s="124">
        <v>265748</v>
      </c>
      <c r="J8" s="124" t="s">
        <v>304</v>
      </c>
    </row>
    <row r="9" spans="1:10" ht="15" x14ac:dyDescent="0.25">
      <c r="A9" s="38"/>
      <c r="B9" s="123"/>
      <c r="C9" s="124" t="s">
        <v>300</v>
      </c>
      <c r="D9" s="124">
        <v>5</v>
      </c>
      <c r="E9" s="124" t="s">
        <v>414</v>
      </c>
      <c r="F9" s="124"/>
      <c r="G9" s="124"/>
      <c r="H9" s="124"/>
      <c r="I9" s="124">
        <v>526675</v>
      </c>
      <c r="J9" s="124" t="s">
        <v>303</v>
      </c>
    </row>
    <row r="10" spans="1:10" ht="15" x14ac:dyDescent="0.25">
      <c r="A10" s="38"/>
      <c r="B10" s="123"/>
      <c r="C10" s="124" t="s">
        <v>122</v>
      </c>
      <c r="D10" s="124">
        <v>9</v>
      </c>
      <c r="E10" s="124" t="s">
        <v>414</v>
      </c>
      <c r="F10" s="124"/>
      <c r="G10" s="124"/>
      <c r="H10" s="124"/>
      <c r="I10" s="124">
        <v>1395793</v>
      </c>
      <c r="J10" s="124" t="s">
        <v>303</v>
      </c>
    </row>
    <row r="11" spans="1:10" ht="15" x14ac:dyDescent="0.25">
      <c r="A11" s="38"/>
      <c r="B11" s="123"/>
      <c r="C11" s="124" t="s">
        <v>123</v>
      </c>
      <c r="D11" s="124">
        <v>8</v>
      </c>
      <c r="E11" s="124" t="s">
        <v>414</v>
      </c>
      <c r="F11" s="124"/>
      <c r="G11" s="124"/>
      <c r="H11" s="124"/>
      <c r="I11" s="124">
        <v>674571</v>
      </c>
      <c r="J11" s="124" t="s">
        <v>303</v>
      </c>
    </row>
    <row r="12" spans="1:10" ht="15" x14ac:dyDescent="0.25">
      <c r="A12" s="38"/>
      <c r="B12" s="123"/>
      <c r="C12" s="124" t="s">
        <v>124</v>
      </c>
      <c r="D12" s="124">
        <v>8</v>
      </c>
      <c r="E12" s="124" t="s">
        <v>414</v>
      </c>
      <c r="F12" s="124"/>
      <c r="G12" s="124"/>
      <c r="H12" s="124"/>
      <c r="I12" s="124">
        <v>1054838</v>
      </c>
      <c r="J12" s="124" t="s">
        <v>303</v>
      </c>
    </row>
    <row r="13" spans="1:10" ht="15" x14ac:dyDescent="0.25">
      <c r="A13" s="38"/>
      <c r="B13" s="123"/>
      <c r="C13" s="124" t="s">
        <v>125</v>
      </c>
      <c r="D13" s="124">
        <v>9</v>
      </c>
      <c r="E13" s="124" t="s">
        <v>414</v>
      </c>
      <c r="F13" s="124"/>
      <c r="G13" s="124"/>
      <c r="H13" s="124"/>
      <c r="I13" s="124">
        <v>459875</v>
      </c>
      <c r="J13" s="124" t="s">
        <v>303</v>
      </c>
    </row>
    <row r="14" spans="1:10" ht="15" x14ac:dyDescent="0.25">
      <c r="A14" s="38"/>
      <c r="B14" s="123"/>
      <c r="C14" s="124" t="s">
        <v>412</v>
      </c>
      <c r="D14" s="124">
        <v>6</v>
      </c>
      <c r="E14" s="124" t="s">
        <v>414</v>
      </c>
      <c r="F14" s="124"/>
      <c r="G14" s="124"/>
      <c r="H14" s="124"/>
      <c r="I14" s="124">
        <v>651732</v>
      </c>
      <c r="J14" s="124" t="s">
        <v>303</v>
      </c>
    </row>
    <row r="15" spans="1:10" ht="15" x14ac:dyDescent="0.25">
      <c r="A15" s="38"/>
      <c r="B15" s="123"/>
      <c r="C15" s="188" t="s">
        <v>126</v>
      </c>
      <c r="D15" s="188">
        <v>2</v>
      </c>
      <c r="E15" s="188" t="s">
        <v>411</v>
      </c>
      <c r="F15" s="124">
        <v>0</v>
      </c>
      <c r="G15" s="124">
        <v>1</v>
      </c>
      <c r="H15" s="124">
        <v>10</v>
      </c>
      <c r="I15" s="124">
        <v>1244147</v>
      </c>
      <c r="J15" s="124" t="s">
        <v>304</v>
      </c>
    </row>
    <row r="16" spans="1:10" ht="15" x14ac:dyDescent="0.25">
      <c r="A16" s="38"/>
      <c r="B16" s="123"/>
      <c r="C16" s="124" t="s">
        <v>127</v>
      </c>
      <c r="D16" s="124">
        <v>14</v>
      </c>
      <c r="E16" s="124" t="s">
        <v>414</v>
      </c>
      <c r="F16" s="124"/>
      <c r="G16" s="124"/>
      <c r="H16" s="124"/>
      <c r="I16" s="124">
        <v>914214</v>
      </c>
      <c r="J16" s="124" t="s">
        <v>303</v>
      </c>
    </row>
    <row r="17" spans="1:10" ht="15" x14ac:dyDescent="0.25">
      <c r="A17" s="38"/>
      <c r="B17" s="123"/>
      <c r="C17" s="124" t="s">
        <v>128</v>
      </c>
      <c r="D17" s="124">
        <v>6</v>
      </c>
      <c r="E17" s="124" t="s">
        <v>414</v>
      </c>
      <c r="F17" s="124"/>
      <c r="G17" s="124"/>
      <c r="H17" s="124"/>
      <c r="I17" s="124">
        <v>1068742</v>
      </c>
      <c r="J17" s="124" t="s">
        <v>303</v>
      </c>
    </row>
    <row r="18" spans="1:10" ht="15.75" thickBot="1" x14ac:dyDescent="0.3">
      <c r="A18" s="38"/>
      <c r="B18" s="123"/>
      <c r="C18" s="168" t="s">
        <v>129</v>
      </c>
      <c r="D18" s="168">
        <v>4</v>
      </c>
      <c r="E18" s="174" t="s">
        <v>414</v>
      </c>
      <c r="F18" s="168"/>
      <c r="G18" s="168"/>
      <c r="H18" s="168"/>
      <c r="I18" s="124">
        <v>502573</v>
      </c>
      <c r="J18" s="124"/>
    </row>
    <row r="19" spans="1:10" ht="15.75" thickBot="1" x14ac:dyDescent="0.3">
      <c r="A19" s="38"/>
      <c r="B19" s="173"/>
      <c r="C19" s="175" t="s">
        <v>368</v>
      </c>
      <c r="D19" s="176"/>
      <c r="E19" s="176"/>
      <c r="F19" s="177">
        <f>SUM(F2:F17)</f>
        <v>0</v>
      </c>
      <c r="G19" s="177">
        <f t="shared" ref="G19:H19" si="0">SUM(G2:G17)</f>
        <v>2</v>
      </c>
      <c r="H19" s="177">
        <f t="shared" si="0"/>
        <v>20</v>
      </c>
      <c r="I19" s="167"/>
      <c r="J19" s="124" t="s">
        <v>303</v>
      </c>
    </row>
    <row r="20" spans="1:10" ht="15" x14ac:dyDescent="0.25">
      <c r="A20" s="38"/>
      <c r="B20" s="162" t="s">
        <v>80</v>
      </c>
      <c r="C20" s="169" t="s">
        <v>130</v>
      </c>
      <c r="D20" s="169">
        <v>9</v>
      </c>
      <c r="E20" s="169" t="s">
        <v>414</v>
      </c>
      <c r="F20" s="169"/>
      <c r="G20" s="169"/>
      <c r="H20" s="169"/>
      <c r="I20" s="163">
        <v>1096630</v>
      </c>
      <c r="J20" s="163" t="s">
        <v>303</v>
      </c>
    </row>
    <row r="21" spans="1:10" ht="15" x14ac:dyDescent="0.25">
      <c r="A21" s="38"/>
      <c r="B21" s="162">
        <v>9</v>
      </c>
      <c r="C21" s="163" t="s">
        <v>131</v>
      </c>
      <c r="D21" s="163">
        <v>1</v>
      </c>
      <c r="E21" s="163" t="s">
        <v>414</v>
      </c>
      <c r="F21" s="163"/>
      <c r="G21" s="163"/>
      <c r="H21" s="163"/>
      <c r="I21" s="163">
        <v>57172</v>
      </c>
      <c r="J21" s="163" t="s">
        <v>304</v>
      </c>
    </row>
    <row r="22" spans="1:10" ht="15" x14ac:dyDescent="0.25">
      <c r="A22" s="38"/>
      <c r="B22" s="162"/>
      <c r="C22" s="163" t="s">
        <v>132</v>
      </c>
      <c r="D22" s="163">
        <v>1</v>
      </c>
      <c r="E22" s="163" t="s">
        <v>414</v>
      </c>
      <c r="F22" s="163"/>
      <c r="G22" s="163"/>
      <c r="H22" s="163"/>
      <c r="I22" s="163">
        <v>16714</v>
      </c>
      <c r="J22" s="163" t="s">
        <v>304</v>
      </c>
    </row>
    <row r="23" spans="1:10" ht="15" x14ac:dyDescent="0.25">
      <c r="A23" s="38"/>
      <c r="B23" s="162"/>
      <c r="C23" s="163" t="s">
        <v>134</v>
      </c>
      <c r="D23" s="163">
        <v>26</v>
      </c>
      <c r="E23" s="163" t="s">
        <v>414</v>
      </c>
      <c r="F23" s="163"/>
      <c r="G23" s="163"/>
      <c r="H23" s="163"/>
      <c r="I23" s="163">
        <v>611785</v>
      </c>
      <c r="J23" s="163" t="s">
        <v>303</v>
      </c>
    </row>
    <row r="24" spans="1:10" ht="15" x14ac:dyDescent="0.25">
      <c r="A24" s="38"/>
      <c r="B24" s="162"/>
      <c r="C24" s="163" t="s">
        <v>133</v>
      </c>
      <c r="D24" s="163">
        <v>6</v>
      </c>
      <c r="E24" s="163" t="s">
        <v>411</v>
      </c>
      <c r="F24" s="163">
        <v>0</v>
      </c>
      <c r="G24" s="163">
        <v>0</v>
      </c>
      <c r="H24" s="163">
        <v>7</v>
      </c>
      <c r="I24" s="163">
        <v>362994</v>
      </c>
      <c r="J24" s="124" t="s">
        <v>303</v>
      </c>
    </row>
    <row r="25" spans="1:10" ht="15" x14ac:dyDescent="0.25">
      <c r="A25" s="38"/>
      <c r="B25" s="162"/>
      <c r="C25" s="163" t="s">
        <v>135</v>
      </c>
      <c r="D25" s="163">
        <v>10</v>
      </c>
      <c r="E25" s="163" t="s">
        <v>414</v>
      </c>
      <c r="F25" s="163"/>
      <c r="G25" s="163"/>
      <c r="H25" s="163"/>
      <c r="I25" s="163">
        <v>1878945</v>
      </c>
      <c r="J25" s="124" t="s">
        <v>303</v>
      </c>
    </row>
    <row r="26" spans="1:10" ht="15" x14ac:dyDescent="0.25">
      <c r="A26" s="38"/>
      <c r="B26" s="162"/>
      <c r="C26" s="163" t="s">
        <v>136</v>
      </c>
      <c r="D26" s="163">
        <v>7</v>
      </c>
      <c r="E26" s="163" t="s">
        <v>414</v>
      </c>
      <c r="F26" s="163"/>
      <c r="G26" s="163"/>
      <c r="H26" s="163"/>
      <c r="I26" s="163">
        <v>1081246</v>
      </c>
      <c r="J26" s="124" t="s">
        <v>303</v>
      </c>
    </row>
    <row r="27" spans="1:10" ht="15" x14ac:dyDescent="0.25">
      <c r="A27" s="38"/>
      <c r="B27" s="162"/>
      <c r="C27" s="163" t="s">
        <v>137</v>
      </c>
      <c r="D27" s="163">
        <v>6</v>
      </c>
      <c r="E27" s="163" t="s">
        <v>414</v>
      </c>
      <c r="F27" s="163"/>
      <c r="G27" s="163"/>
      <c r="H27" s="163"/>
      <c r="I27" s="163">
        <v>1392988</v>
      </c>
      <c r="J27" s="124" t="s">
        <v>303</v>
      </c>
    </row>
    <row r="28" spans="1:10" ht="15.75" thickBot="1" x14ac:dyDescent="0.3">
      <c r="A28" s="38"/>
      <c r="B28" s="162"/>
      <c r="C28" s="180" t="s">
        <v>138</v>
      </c>
      <c r="D28" s="180">
        <v>1</v>
      </c>
      <c r="E28" s="180" t="s">
        <v>411</v>
      </c>
      <c r="F28" s="180">
        <v>6</v>
      </c>
      <c r="G28" s="180">
        <v>0</v>
      </c>
      <c r="H28" s="180">
        <v>3</v>
      </c>
      <c r="I28" s="163">
        <v>33804</v>
      </c>
      <c r="J28" s="124" t="s">
        <v>304</v>
      </c>
    </row>
    <row r="29" spans="1:10" ht="15.75" thickBot="1" x14ac:dyDescent="0.3">
      <c r="A29" s="38"/>
      <c r="B29" s="178"/>
      <c r="C29" s="183" t="s">
        <v>368</v>
      </c>
      <c r="D29" s="184"/>
      <c r="E29" s="184"/>
      <c r="F29" s="185">
        <f>SUM(F20:F28)</f>
        <v>6</v>
      </c>
      <c r="G29" s="185">
        <f t="shared" ref="G29:H29" si="1">SUM(G20:G28)</f>
        <v>0</v>
      </c>
      <c r="H29" s="185">
        <f t="shared" si="1"/>
        <v>10</v>
      </c>
      <c r="I29" s="179"/>
      <c r="J29" s="124"/>
    </row>
    <row r="30" spans="1:10" ht="15" x14ac:dyDescent="0.25">
      <c r="A30" s="38"/>
      <c r="B30" s="162" t="s">
        <v>81</v>
      </c>
      <c r="C30" s="169" t="s">
        <v>139</v>
      </c>
      <c r="D30" s="169">
        <v>7</v>
      </c>
      <c r="E30" s="169" t="s">
        <v>414</v>
      </c>
      <c r="F30" s="169"/>
      <c r="G30" s="169"/>
      <c r="H30" s="169"/>
      <c r="I30" s="163">
        <v>448892</v>
      </c>
      <c r="J30" s="163" t="s">
        <v>303</v>
      </c>
    </row>
    <row r="31" spans="1:10" ht="15" x14ac:dyDescent="0.25">
      <c r="A31" s="38"/>
      <c r="B31" s="162">
        <v>5</v>
      </c>
      <c r="C31" s="163" t="s">
        <v>140</v>
      </c>
      <c r="D31" s="163">
        <v>10</v>
      </c>
      <c r="E31" s="163" t="s">
        <v>411</v>
      </c>
      <c r="F31" s="163">
        <v>3</v>
      </c>
      <c r="G31" s="163">
        <v>10</v>
      </c>
      <c r="H31" s="163">
        <v>49</v>
      </c>
      <c r="I31" s="163">
        <v>277633</v>
      </c>
      <c r="J31" s="163" t="s">
        <v>303</v>
      </c>
    </row>
    <row r="32" spans="1:10" ht="15" x14ac:dyDescent="0.25">
      <c r="A32" s="38"/>
      <c r="B32" s="162"/>
      <c r="C32" s="163" t="s">
        <v>142</v>
      </c>
      <c r="D32" s="163">
        <v>1</v>
      </c>
      <c r="E32" s="163" t="s">
        <v>411</v>
      </c>
      <c r="F32" s="163">
        <v>0</v>
      </c>
      <c r="G32" s="163">
        <v>0</v>
      </c>
      <c r="H32" s="163">
        <v>0</v>
      </c>
      <c r="I32" s="163">
        <v>723563</v>
      </c>
      <c r="J32" s="163" t="s">
        <v>303</v>
      </c>
    </row>
    <row r="33" spans="1:10" ht="15" x14ac:dyDescent="0.25">
      <c r="A33" s="38"/>
      <c r="B33" s="162"/>
      <c r="C33" s="163" t="s">
        <v>143</v>
      </c>
      <c r="D33" s="163">
        <v>7</v>
      </c>
      <c r="E33" s="163" t="s">
        <v>411</v>
      </c>
      <c r="F33" s="163">
        <v>24</v>
      </c>
      <c r="G33" s="163">
        <v>4</v>
      </c>
      <c r="H33" s="163">
        <v>28</v>
      </c>
      <c r="I33" s="163">
        <v>111397</v>
      </c>
      <c r="J33" s="163" t="s">
        <v>303</v>
      </c>
    </row>
    <row r="34" spans="1:10" ht="15.75" thickBot="1" x14ac:dyDescent="0.3">
      <c r="A34" s="38"/>
      <c r="B34" s="162"/>
      <c r="C34" s="180" t="s">
        <v>141</v>
      </c>
      <c r="D34" s="180">
        <v>1</v>
      </c>
      <c r="E34" s="180" t="s">
        <v>414</v>
      </c>
      <c r="F34" s="180"/>
      <c r="G34" s="180"/>
      <c r="H34" s="180"/>
      <c r="I34" s="163">
        <v>16004</v>
      </c>
      <c r="J34" s="163" t="s">
        <v>304</v>
      </c>
    </row>
    <row r="35" spans="1:10" ht="15.75" thickBot="1" x14ac:dyDescent="0.3">
      <c r="A35" s="38"/>
      <c r="B35" s="178"/>
      <c r="C35" s="183" t="s">
        <v>368</v>
      </c>
      <c r="D35" s="184"/>
      <c r="E35" s="184"/>
      <c r="F35" s="185">
        <f>SUM(F30:F34)</f>
        <v>27</v>
      </c>
      <c r="G35" s="185">
        <f t="shared" ref="G35:H35" si="2">SUM(G30:G34)</f>
        <v>14</v>
      </c>
      <c r="H35" s="185">
        <f t="shared" si="2"/>
        <v>77</v>
      </c>
      <c r="I35" s="179"/>
      <c r="J35" s="163"/>
    </row>
    <row r="36" spans="1:10" ht="15" x14ac:dyDescent="0.25">
      <c r="A36" s="38"/>
      <c r="B36" s="123" t="s">
        <v>82</v>
      </c>
      <c r="C36" s="181" t="s">
        <v>144</v>
      </c>
      <c r="D36" s="181">
        <v>12</v>
      </c>
      <c r="E36" s="181" t="s">
        <v>414</v>
      </c>
      <c r="F36" s="181"/>
      <c r="G36" s="181"/>
      <c r="H36" s="181"/>
      <c r="I36" s="124">
        <v>364093</v>
      </c>
      <c r="J36" s="124" t="s">
        <v>303</v>
      </c>
    </row>
    <row r="37" spans="1:10" ht="15" x14ac:dyDescent="0.25">
      <c r="A37" s="38"/>
      <c r="B37" s="123">
        <v>8</v>
      </c>
      <c r="C37" s="124" t="s">
        <v>145</v>
      </c>
      <c r="D37" s="124">
        <v>14</v>
      </c>
      <c r="E37" s="124" t="s">
        <v>414</v>
      </c>
      <c r="F37" s="124"/>
      <c r="G37" s="124"/>
      <c r="H37" s="124"/>
      <c r="I37" s="124">
        <v>265906</v>
      </c>
      <c r="J37" s="124" t="s">
        <v>303</v>
      </c>
    </row>
    <row r="38" spans="1:10" ht="15" x14ac:dyDescent="0.25">
      <c r="A38" s="38"/>
      <c r="B38" s="123"/>
      <c r="C38" s="124" t="s">
        <v>146</v>
      </c>
      <c r="D38" s="124">
        <v>10</v>
      </c>
      <c r="E38" s="124" t="s">
        <v>411</v>
      </c>
      <c r="F38" s="124">
        <v>49</v>
      </c>
      <c r="G38" s="124">
        <v>0</v>
      </c>
      <c r="H38" s="124">
        <v>6</v>
      </c>
      <c r="I38" s="124">
        <v>298229</v>
      </c>
      <c r="J38" s="124" t="s">
        <v>303</v>
      </c>
    </row>
    <row r="39" spans="1:10" ht="15" x14ac:dyDescent="0.25">
      <c r="A39" s="38"/>
      <c r="B39" s="123"/>
      <c r="C39" s="124" t="s">
        <v>147</v>
      </c>
      <c r="D39" s="124">
        <v>14</v>
      </c>
      <c r="E39" s="124" t="s">
        <v>411</v>
      </c>
      <c r="F39" s="124">
        <v>52</v>
      </c>
      <c r="G39" s="124">
        <v>4</v>
      </c>
      <c r="H39" s="124">
        <v>33</v>
      </c>
      <c r="I39" s="124">
        <v>1997385</v>
      </c>
      <c r="J39" s="124" t="s">
        <v>303</v>
      </c>
    </row>
    <row r="40" spans="1:10" ht="15" x14ac:dyDescent="0.25">
      <c r="A40" s="38"/>
      <c r="B40" s="123"/>
      <c r="C40" s="124" t="s">
        <v>148</v>
      </c>
      <c r="D40" s="124">
        <v>6</v>
      </c>
      <c r="E40" s="124" t="s">
        <v>411</v>
      </c>
      <c r="F40" s="124">
        <v>41</v>
      </c>
      <c r="G40" s="124">
        <v>2</v>
      </c>
      <c r="H40" s="124">
        <v>0</v>
      </c>
      <c r="I40" s="124">
        <v>170015</v>
      </c>
      <c r="J40" s="124" t="s">
        <v>303</v>
      </c>
    </row>
    <row r="41" spans="1:10" ht="15" x14ac:dyDescent="0.25">
      <c r="A41" s="38"/>
      <c r="B41" s="123"/>
      <c r="C41" s="124" t="s">
        <v>149</v>
      </c>
      <c r="D41" s="124">
        <v>8</v>
      </c>
      <c r="E41" s="124" t="s">
        <v>414</v>
      </c>
      <c r="F41" s="124"/>
      <c r="G41" s="124"/>
      <c r="H41" s="124"/>
      <c r="I41" s="124">
        <v>914187</v>
      </c>
      <c r="J41" s="124" t="s">
        <v>303</v>
      </c>
    </row>
    <row r="42" spans="1:10" ht="15" x14ac:dyDescent="0.25">
      <c r="A42" s="38"/>
      <c r="B42" s="123"/>
      <c r="C42" s="124" t="s">
        <v>150</v>
      </c>
      <c r="D42" s="124">
        <v>11</v>
      </c>
      <c r="E42" s="124" t="s">
        <v>414</v>
      </c>
      <c r="F42" s="124"/>
      <c r="G42" s="124"/>
      <c r="H42" s="124"/>
      <c r="I42" s="124">
        <v>2927322</v>
      </c>
      <c r="J42" s="124" t="s">
        <v>303</v>
      </c>
    </row>
    <row r="43" spans="1:10" ht="15.75" thickBot="1" x14ac:dyDescent="0.3">
      <c r="A43" s="38"/>
      <c r="B43" s="123"/>
      <c r="C43" s="168" t="s">
        <v>311</v>
      </c>
      <c r="D43" s="168">
        <v>1</v>
      </c>
      <c r="E43" s="168" t="s">
        <v>414</v>
      </c>
      <c r="F43" s="168"/>
      <c r="G43" s="168"/>
      <c r="H43" s="168"/>
      <c r="I43" s="124">
        <v>123160</v>
      </c>
      <c r="J43" s="124" t="s">
        <v>304</v>
      </c>
    </row>
    <row r="44" spans="1:10" ht="15.75" thickBot="1" x14ac:dyDescent="0.3">
      <c r="A44" s="38"/>
      <c r="B44" s="173"/>
      <c r="C44" s="175" t="s">
        <v>368</v>
      </c>
      <c r="D44" s="176"/>
      <c r="E44" s="176"/>
      <c r="F44" s="177">
        <f>SUM(F36:F43)</f>
        <v>142</v>
      </c>
      <c r="G44" s="177">
        <f t="shared" ref="G44:H44" si="3">SUM(G36:G43)</f>
        <v>6</v>
      </c>
      <c r="H44" s="177">
        <f t="shared" si="3"/>
        <v>39</v>
      </c>
      <c r="I44" s="167"/>
      <c r="J44" s="124"/>
    </row>
    <row r="45" spans="1:10" ht="15.75" thickBot="1" x14ac:dyDescent="0.3">
      <c r="A45" s="38"/>
      <c r="B45" s="162" t="s">
        <v>91</v>
      </c>
      <c r="C45" s="172" t="s">
        <v>151</v>
      </c>
      <c r="D45" s="172">
        <v>1</v>
      </c>
      <c r="E45" s="172" t="s">
        <v>411</v>
      </c>
      <c r="F45" s="172">
        <v>0</v>
      </c>
      <c r="G45" s="172">
        <v>0</v>
      </c>
      <c r="H45" s="172">
        <v>0</v>
      </c>
      <c r="I45" s="163">
        <v>991417</v>
      </c>
      <c r="J45" s="163" t="s">
        <v>303</v>
      </c>
    </row>
    <row r="46" spans="1:10" ht="15.75" thickBot="1" x14ac:dyDescent="0.3">
      <c r="A46" s="38"/>
      <c r="B46" s="178"/>
      <c r="C46" s="183" t="s">
        <v>368</v>
      </c>
      <c r="D46" s="184"/>
      <c r="E46" s="184"/>
      <c r="F46" s="185">
        <f>SUM(F45)</f>
        <v>0</v>
      </c>
      <c r="G46" s="185">
        <f t="shared" ref="G46:H46" si="4">SUM(G45)</f>
        <v>0</v>
      </c>
      <c r="H46" s="185">
        <f t="shared" si="4"/>
        <v>0</v>
      </c>
      <c r="I46" s="179"/>
      <c r="J46" s="163"/>
    </row>
    <row r="47" spans="1:10" ht="15" x14ac:dyDescent="0.25">
      <c r="A47" s="38"/>
      <c r="B47" s="123" t="s">
        <v>86</v>
      </c>
      <c r="C47" s="181" t="s">
        <v>152</v>
      </c>
      <c r="D47" s="181">
        <v>5</v>
      </c>
      <c r="E47" s="181" t="s">
        <v>414</v>
      </c>
      <c r="F47" s="181"/>
      <c r="G47" s="181"/>
      <c r="H47" s="181"/>
      <c r="I47" s="124">
        <v>127099</v>
      </c>
      <c r="J47" s="124" t="s">
        <v>303</v>
      </c>
    </row>
    <row r="48" spans="1:10" ht="15" x14ac:dyDescent="0.25">
      <c r="A48" s="38"/>
      <c r="B48" s="123">
        <v>7</v>
      </c>
      <c r="C48" s="124" t="s">
        <v>153</v>
      </c>
      <c r="D48" s="124">
        <v>3</v>
      </c>
      <c r="E48" s="124" t="s">
        <v>414</v>
      </c>
      <c r="F48" s="124"/>
      <c r="G48" s="124"/>
      <c r="H48" s="124"/>
      <c r="I48" s="124">
        <v>104779</v>
      </c>
      <c r="J48" s="124" t="s">
        <v>304</v>
      </c>
    </row>
    <row r="49" spans="1:10" ht="15" x14ac:dyDescent="0.25">
      <c r="A49" s="38"/>
      <c r="B49" s="123"/>
      <c r="C49" s="124" t="s">
        <v>154</v>
      </c>
      <c r="D49" s="124">
        <v>4</v>
      </c>
      <c r="E49" s="124" t="s">
        <v>411</v>
      </c>
      <c r="F49" s="124">
        <v>20</v>
      </c>
      <c r="G49" s="124">
        <v>1</v>
      </c>
      <c r="H49" s="124">
        <v>40</v>
      </c>
      <c r="I49" s="124">
        <v>92535</v>
      </c>
      <c r="J49" s="124" t="s">
        <v>304</v>
      </c>
    </row>
    <row r="50" spans="1:10" ht="15" x14ac:dyDescent="0.25">
      <c r="A50" s="38"/>
      <c r="B50" s="123"/>
      <c r="C50" s="124" t="s">
        <v>155</v>
      </c>
      <c r="D50" s="124">
        <v>1</v>
      </c>
      <c r="E50" s="124" t="s">
        <v>411</v>
      </c>
      <c r="F50" s="124">
        <v>0</v>
      </c>
      <c r="G50" s="124">
        <v>0</v>
      </c>
      <c r="H50" s="124">
        <v>6</v>
      </c>
      <c r="I50" s="124">
        <v>250</v>
      </c>
      <c r="J50" s="124" t="s">
        <v>304</v>
      </c>
    </row>
    <row r="51" spans="1:10" ht="15" x14ac:dyDescent="0.25">
      <c r="A51" s="38"/>
      <c r="B51" s="123"/>
      <c r="C51" s="124" t="s">
        <v>157</v>
      </c>
      <c r="D51" s="124">
        <v>1</v>
      </c>
      <c r="E51" s="124" t="s">
        <v>411</v>
      </c>
      <c r="F51" s="124">
        <v>0</v>
      </c>
      <c r="G51" s="124">
        <v>1</v>
      </c>
      <c r="H51" s="124">
        <v>0</v>
      </c>
      <c r="I51" s="124">
        <v>499674</v>
      </c>
      <c r="J51" s="124" t="s">
        <v>303</v>
      </c>
    </row>
    <row r="52" spans="1:10" ht="15" x14ac:dyDescent="0.25">
      <c r="A52" s="38"/>
      <c r="B52" s="123"/>
      <c r="C52" s="124" t="s">
        <v>158</v>
      </c>
      <c r="D52" s="124">
        <v>1</v>
      </c>
      <c r="E52" s="124" t="s">
        <v>411</v>
      </c>
      <c r="F52" s="124">
        <v>0</v>
      </c>
      <c r="G52" s="124">
        <v>0</v>
      </c>
      <c r="H52" s="124">
        <v>2</v>
      </c>
      <c r="I52" s="124">
        <v>66616</v>
      </c>
      <c r="J52" s="124" t="s">
        <v>304</v>
      </c>
    </row>
    <row r="53" spans="1:10" ht="15.75" thickBot="1" x14ac:dyDescent="0.3">
      <c r="A53" s="38"/>
      <c r="B53" s="123"/>
      <c r="C53" s="168" t="s">
        <v>156</v>
      </c>
      <c r="D53" s="168">
        <v>1</v>
      </c>
      <c r="E53" s="168" t="s">
        <v>411</v>
      </c>
      <c r="F53" s="168">
        <v>0</v>
      </c>
      <c r="G53" s="168">
        <v>0</v>
      </c>
      <c r="H53" s="168">
        <v>9</v>
      </c>
      <c r="I53" s="124">
        <v>958</v>
      </c>
      <c r="J53" s="124" t="s">
        <v>304</v>
      </c>
    </row>
    <row r="54" spans="1:10" ht="15.75" thickBot="1" x14ac:dyDescent="0.3">
      <c r="A54" s="38"/>
      <c r="B54" s="173"/>
      <c r="C54" s="175" t="s">
        <v>368</v>
      </c>
      <c r="D54" s="176"/>
      <c r="E54" s="176"/>
      <c r="F54" s="177">
        <f>SUM(F47:F53)</f>
        <v>20</v>
      </c>
      <c r="G54" s="177">
        <f t="shared" ref="G54:H54" si="5">SUM(G47:G53)</f>
        <v>2</v>
      </c>
      <c r="H54" s="177">
        <f t="shared" si="5"/>
        <v>57</v>
      </c>
      <c r="I54" s="167"/>
      <c r="J54" s="124"/>
    </row>
    <row r="55" spans="1:10" ht="15" x14ac:dyDescent="0.25">
      <c r="A55" s="38"/>
      <c r="B55" s="162" t="s">
        <v>88</v>
      </c>
      <c r="C55" s="169" t="s">
        <v>159</v>
      </c>
      <c r="D55" s="169">
        <v>1</v>
      </c>
      <c r="E55" s="169" t="s">
        <v>411</v>
      </c>
      <c r="F55" s="169">
        <v>0</v>
      </c>
      <c r="G55" s="169">
        <v>0</v>
      </c>
      <c r="H55" s="169">
        <v>2</v>
      </c>
      <c r="I55" s="163">
        <v>2456445</v>
      </c>
      <c r="J55" s="163" t="s">
        <v>303</v>
      </c>
    </row>
    <row r="56" spans="1:10" ht="15.75" thickBot="1" x14ac:dyDescent="0.3">
      <c r="A56" s="38"/>
      <c r="B56" s="162">
        <v>2</v>
      </c>
      <c r="C56" s="180" t="s">
        <v>160</v>
      </c>
      <c r="D56" s="180">
        <v>4</v>
      </c>
      <c r="E56" s="180" t="s">
        <v>411</v>
      </c>
      <c r="F56" s="180">
        <v>0</v>
      </c>
      <c r="G56" s="180">
        <v>1</v>
      </c>
      <c r="H56" s="180">
        <v>34</v>
      </c>
      <c r="I56" s="163">
        <v>75008</v>
      </c>
      <c r="J56" s="163" t="s">
        <v>304</v>
      </c>
    </row>
    <row r="57" spans="1:10" ht="15.75" thickBot="1" x14ac:dyDescent="0.3">
      <c r="A57" s="38"/>
      <c r="B57" s="178"/>
      <c r="C57" s="183" t="s">
        <v>368</v>
      </c>
      <c r="D57" s="184"/>
      <c r="E57" s="184"/>
      <c r="F57" s="185">
        <f>SUM(F55:F56)</f>
        <v>0</v>
      </c>
      <c r="G57" s="185">
        <f t="shared" ref="G57:H57" si="6">SUM(G55:G56)</f>
        <v>1</v>
      </c>
      <c r="H57" s="185">
        <f t="shared" si="6"/>
        <v>36</v>
      </c>
      <c r="I57" s="179"/>
      <c r="J57" s="163"/>
    </row>
    <row r="58" spans="1:10" ht="15" x14ac:dyDescent="0.25">
      <c r="A58" s="38"/>
      <c r="B58" s="123" t="s">
        <v>93</v>
      </c>
      <c r="C58" s="181" t="s">
        <v>161</v>
      </c>
      <c r="D58" s="181">
        <v>2</v>
      </c>
      <c r="E58" s="181" t="s">
        <v>411</v>
      </c>
      <c r="F58" s="181">
        <v>0</v>
      </c>
      <c r="G58" s="181">
        <v>0</v>
      </c>
      <c r="H58" s="181">
        <v>2</v>
      </c>
      <c r="I58" s="124">
        <v>322066</v>
      </c>
      <c r="J58" s="124" t="s">
        <v>304</v>
      </c>
    </row>
    <row r="59" spans="1:10" ht="15" x14ac:dyDescent="0.25">
      <c r="A59" s="38"/>
      <c r="B59" s="123">
        <v>4</v>
      </c>
      <c r="C59" s="124" t="s">
        <v>162</v>
      </c>
      <c r="D59" s="124">
        <v>6</v>
      </c>
      <c r="E59" s="124" t="s">
        <v>411</v>
      </c>
      <c r="F59" s="124">
        <v>0</v>
      </c>
      <c r="G59" s="124">
        <v>0</v>
      </c>
      <c r="H59" s="124">
        <v>10</v>
      </c>
      <c r="I59" s="124">
        <v>495369</v>
      </c>
      <c r="J59" s="124" t="s">
        <v>303</v>
      </c>
    </row>
    <row r="60" spans="1:10" ht="15" x14ac:dyDescent="0.25">
      <c r="A60" s="38"/>
      <c r="B60" s="123"/>
      <c r="C60" s="124" t="s">
        <v>163</v>
      </c>
      <c r="D60" s="124">
        <v>2</v>
      </c>
      <c r="E60" s="124" t="s">
        <v>411</v>
      </c>
      <c r="F60" s="124">
        <v>30</v>
      </c>
      <c r="G60" s="124">
        <v>0</v>
      </c>
      <c r="H60" s="124">
        <v>7</v>
      </c>
      <c r="I60" s="124">
        <v>34433</v>
      </c>
      <c r="J60" s="124" t="s">
        <v>304</v>
      </c>
    </row>
    <row r="61" spans="1:10" ht="15.75" thickBot="1" x14ac:dyDescent="0.3">
      <c r="A61" s="38"/>
      <c r="B61" s="123"/>
      <c r="C61" s="168" t="s">
        <v>164</v>
      </c>
      <c r="D61" s="168">
        <v>2</v>
      </c>
      <c r="E61" s="168" t="s">
        <v>411</v>
      </c>
      <c r="F61" s="168">
        <v>0</v>
      </c>
      <c r="G61" s="168">
        <v>0</v>
      </c>
      <c r="H61" s="168">
        <v>4</v>
      </c>
      <c r="I61" s="124">
        <v>289819</v>
      </c>
      <c r="J61" s="124" t="s">
        <v>304</v>
      </c>
    </row>
    <row r="62" spans="1:10" ht="15.75" thickBot="1" x14ac:dyDescent="0.3">
      <c r="A62" s="38"/>
      <c r="B62" s="173"/>
      <c r="C62" s="175" t="s">
        <v>368</v>
      </c>
      <c r="D62" s="176"/>
      <c r="E62" s="176"/>
      <c r="F62" s="177">
        <f>SUM(F58:F61)</f>
        <v>30</v>
      </c>
      <c r="G62" s="177">
        <f t="shared" ref="G62:H62" si="7">SUM(G58:G61)</f>
        <v>0</v>
      </c>
      <c r="H62" s="177">
        <f t="shared" si="7"/>
        <v>23</v>
      </c>
      <c r="I62" s="167"/>
      <c r="J62" s="124"/>
    </row>
    <row r="63" spans="1:10" ht="15" x14ac:dyDescent="0.25">
      <c r="A63" s="164" t="s">
        <v>83</v>
      </c>
      <c r="B63" s="164" t="s">
        <v>98</v>
      </c>
      <c r="C63" s="169" t="s">
        <v>165</v>
      </c>
      <c r="D63" s="169">
        <v>48</v>
      </c>
      <c r="E63" s="169" t="s">
        <v>414</v>
      </c>
      <c r="F63" s="169"/>
      <c r="G63" s="169"/>
      <c r="H63" s="169"/>
      <c r="I63" s="163">
        <v>8495905</v>
      </c>
      <c r="J63" s="163" t="s">
        <v>303</v>
      </c>
    </row>
    <row r="64" spans="1:10" ht="15" x14ac:dyDescent="0.25">
      <c r="A64" s="38"/>
      <c r="B64" s="162">
        <v>3</v>
      </c>
      <c r="C64" s="163" t="s">
        <v>166</v>
      </c>
      <c r="D64" s="163">
        <v>53</v>
      </c>
      <c r="E64" s="163" t="s">
        <v>414</v>
      </c>
      <c r="F64" s="163"/>
      <c r="G64" s="163"/>
      <c r="H64" s="163"/>
      <c r="I64" s="163">
        <v>4529567</v>
      </c>
      <c r="J64" s="163" t="s">
        <v>303</v>
      </c>
    </row>
    <row r="65" spans="1:10" ht="15.75" thickBot="1" x14ac:dyDescent="0.3">
      <c r="A65" s="38"/>
      <c r="B65" s="162"/>
      <c r="C65" s="180" t="s">
        <v>167</v>
      </c>
      <c r="D65" s="180">
        <v>3</v>
      </c>
      <c r="E65" s="180" t="s">
        <v>411</v>
      </c>
      <c r="F65" s="180">
        <v>0</v>
      </c>
      <c r="G65" s="180">
        <v>2</v>
      </c>
      <c r="H65" s="180">
        <v>6</v>
      </c>
      <c r="I65" s="163">
        <v>669132</v>
      </c>
      <c r="J65" s="163" t="s">
        <v>303</v>
      </c>
    </row>
    <row r="66" spans="1:10" ht="15.75" thickBot="1" x14ac:dyDescent="0.3">
      <c r="A66" s="38"/>
      <c r="B66" s="178"/>
      <c r="C66" s="183" t="s">
        <v>368</v>
      </c>
      <c r="D66" s="184"/>
      <c r="E66" s="184"/>
      <c r="F66" s="185">
        <f>SUM(F63:F65)</f>
        <v>0</v>
      </c>
      <c r="G66" s="185">
        <f t="shared" ref="G66:H66" si="8">SUM(G63:G65)</f>
        <v>2</v>
      </c>
      <c r="H66" s="185">
        <f t="shared" si="8"/>
        <v>6</v>
      </c>
      <c r="I66" s="179"/>
      <c r="J66" s="163"/>
    </row>
    <row r="67" spans="1:10" ht="15" x14ac:dyDescent="0.25">
      <c r="A67" s="38"/>
      <c r="B67" s="123" t="s">
        <v>90</v>
      </c>
      <c r="C67" s="181" t="s">
        <v>168</v>
      </c>
      <c r="D67" s="181">
        <v>4</v>
      </c>
      <c r="E67" s="181" t="s">
        <v>414</v>
      </c>
      <c r="F67" s="181"/>
      <c r="G67" s="181"/>
      <c r="H67" s="181"/>
      <c r="I67" s="124">
        <v>624241</v>
      </c>
      <c r="J67" s="124" t="s">
        <v>303</v>
      </c>
    </row>
    <row r="68" spans="1:10" ht="15.75" thickBot="1" x14ac:dyDescent="0.3">
      <c r="A68" s="38"/>
      <c r="B68" s="123">
        <v>2</v>
      </c>
      <c r="C68" s="168" t="s">
        <v>169</v>
      </c>
      <c r="D68" s="168">
        <v>3</v>
      </c>
      <c r="E68" s="168" t="s">
        <v>414</v>
      </c>
      <c r="F68" s="168"/>
      <c r="G68" s="168"/>
      <c r="H68" s="168"/>
      <c r="I68" s="124">
        <v>584238</v>
      </c>
      <c r="J68" s="124" t="s">
        <v>303</v>
      </c>
    </row>
    <row r="69" spans="1:10" ht="15.75" thickBot="1" x14ac:dyDescent="0.3">
      <c r="A69" s="38"/>
      <c r="B69" s="173"/>
      <c r="C69" s="175" t="s">
        <v>368</v>
      </c>
      <c r="D69" s="176"/>
      <c r="E69" s="176"/>
      <c r="F69" s="177">
        <v>0</v>
      </c>
      <c r="G69" s="177">
        <v>0</v>
      </c>
      <c r="H69" s="177">
        <v>0</v>
      </c>
      <c r="I69" s="167"/>
      <c r="J69" s="124"/>
    </row>
    <row r="70" spans="1:10" ht="15" x14ac:dyDescent="0.25">
      <c r="A70" s="38"/>
      <c r="B70" s="162" t="s">
        <v>92</v>
      </c>
      <c r="C70" s="169" t="s">
        <v>301</v>
      </c>
      <c r="D70" s="169">
        <v>2</v>
      </c>
      <c r="E70" s="169" t="s">
        <v>414</v>
      </c>
      <c r="F70" s="169"/>
      <c r="G70" s="169"/>
      <c r="H70" s="169"/>
      <c r="I70" s="163">
        <v>67800</v>
      </c>
      <c r="J70" s="163" t="s">
        <v>304</v>
      </c>
    </row>
    <row r="71" spans="1:10" ht="15" x14ac:dyDescent="0.25">
      <c r="A71" s="38"/>
      <c r="B71" s="162">
        <v>32</v>
      </c>
      <c r="C71" s="163" t="s">
        <v>170</v>
      </c>
      <c r="D71" s="163">
        <v>1</v>
      </c>
      <c r="E71" s="163" t="s">
        <v>414</v>
      </c>
      <c r="F71" s="163"/>
      <c r="G71" s="163"/>
      <c r="H71" s="163"/>
      <c r="I71" s="163">
        <v>70436</v>
      </c>
      <c r="J71" s="163" t="s">
        <v>304</v>
      </c>
    </row>
    <row r="72" spans="1:10" ht="15" x14ac:dyDescent="0.25">
      <c r="A72" s="38"/>
      <c r="B72" s="162"/>
      <c r="C72" s="163" t="s">
        <v>173</v>
      </c>
      <c r="D72" s="163">
        <v>1</v>
      </c>
      <c r="E72" s="163" t="s">
        <v>411</v>
      </c>
      <c r="F72" s="163">
        <v>0</v>
      </c>
      <c r="G72" s="163">
        <v>0</v>
      </c>
      <c r="H72" s="163">
        <v>7</v>
      </c>
      <c r="I72" s="163">
        <v>489431</v>
      </c>
      <c r="J72" s="163" t="s">
        <v>303</v>
      </c>
    </row>
    <row r="73" spans="1:10" ht="15" x14ac:dyDescent="0.25">
      <c r="A73" s="38"/>
      <c r="B73" s="162"/>
      <c r="C73" s="163" t="s">
        <v>171</v>
      </c>
      <c r="D73" s="163">
        <v>1</v>
      </c>
      <c r="E73" s="163" t="s">
        <v>411</v>
      </c>
      <c r="F73" s="163">
        <v>0</v>
      </c>
      <c r="G73" s="163">
        <v>0</v>
      </c>
      <c r="H73" s="163">
        <v>0</v>
      </c>
      <c r="I73" s="163">
        <v>46371</v>
      </c>
      <c r="J73" s="163" t="s">
        <v>304</v>
      </c>
    </row>
    <row r="74" spans="1:10" ht="15" x14ac:dyDescent="0.25">
      <c r="A74" s="38"/>
      <c r="B74" s="162"/>
      <c r="C74" s="163" t="s">
        <v>172</v>
      </c>
      <c r="D74" s="163">
        <v>6</v>
      </c>
      <c r="E74" s="163" t="s">
        <v>411</v>
      </c>
      <c r="F74" s="163">
        <v>0</v>
      </c>
      <c r="G74" s="163">
        <v>0</v>
      </c>
      <c r="H74" s="163">
        <v>7</v>
      </c>
      <c r="I74" s="163">
        <v>24674</v>
      </c>
      <c r="J74" s="163" t="s">
        <v>303</v>
      </c>
    </row>
    <row r="75" spans="1:10" ht="15" x14ac:dyDescent="0.25">
      <c r="A75" s="38"/>
      <c r="B75" s="162"/>
      <c r="C75" s="163" t="s">
        <v>174</v>
      </c>
      <c r="D75" s="163">
        <v>2</v>
      </c>
      <c r="E75" s="163" t="s">
        <v>414</v>
      </c>
      <c r="F75" s="163"/>
      <c r="G75" s="163"/>
      <c r="H75" s="163"/>
      <c r="I75" s="163">
        <v>134127</v>
      </c>
      <c r="J75" s="163" t="s">
        <v>303</v>
      </c>
    </row>
    <row r="76" spans="1:10" ht="15" x14ac:dyDescent="0.25">
      <c r="A76" s="38"/>
      <c r="B76" s="162"/>
      <c r="C76" s="163" t="s">
        <v>175</v>
      </c>
      <c r="D76" s="163">
        <v>5</v>
      </c>
      <c r="E76" s="163" t="s">
        <v>411</v>
      </c>
      <c r="F76" s="163">
        <v>0</v>
      </c>
      <c r="G76" s="163">
        <v>4</v>
      </c>
      <c r="H76" s="163">
        <v>108</v>
      </c>
      <c r="I76" s="163">
        <v>2784074</v>
      </c>
      <c r="J76" s="163" t="s">
        <v>303</v>
      </c>
    </row>
    <row r="77" spans="1:10" ht="15" x14ac:dyDescent="0.25">
      <c r="A77" s="38"/>
      <c r="B77" s="162"/>
      <c r="C77" s="163" t="s">
        <v>176</v>
      </c>
      <c r="D77" s="163">
        <v>1</v>
      </c>
      <c r="E77" s="163" t="s">
        <v>411</v>
      </c>
      <c r="F77" s="163">
        <v>0</v>
      </c>
      <c r="G77" s="163">
        <v>0</v>
      </c>
      <c r="H77" s="163">
        <v>0</v>
      </c>
      <c r="I77" s="163">
        <v>3659</v>
      </c>
      <c r="J77" s="163" t="s">
        <v>304</v>
      </c>
    </row>
    <row r="78" spans="1:10" ht="15" x14ac:dyDescent="0.25">
      <c r="A78" s="38"/>
      <c r="B78" s="162"/>
      <c r="C78" s="163" t="s">
        <v>177</v>
      </c>
      <c r="D78" s="163">
        <v>2</v>
      </c>
      <c r="E78" s="163" t="s">
        <v>411</v>
      </c>
      <c r="F78" s="163">
        <v>0</v>
      </c>
      <c r="G78" s="163">
        <v>0</v>
      </c>
      <c r="H78" s="163">
        <v>3</v>
      </c>
      <c r="I78" s="163">
        <v>70699</v>
      </c>
      <c r="J78" s="163" t="s">
        <v>304</v>
      </c>
    </row>
    <row r="79" spans="1:10" ht="15" x14ac:dyDescent="0.25">
      <c r="A79" s="38"/>
      <c r="B79" s="162"/>
      <c r="C79" s="163" t="s">
        <v>178</v>
      </c>
      <c r="D79" s="163">
        <v>1</v>
      </c>
      <c r="E79" s="163" t="s">
        <v>411</v>
      </c>
      <c r="F79" s="163">
        <v>0</v>
      </c>
      <c r="G79" s="163">
        <v>0</v>
      </c>
      <c r="H79" s="163">
        <v>0</v>
      </c>
      <c r="I79" s="163">
        <v>19503</v>
      </c>
      <c r="J79" s="163" t="s">
        <v>304</v>
      </c>
    </row>
    <row r="80" spans="1:10" ht="15" x14ac:dyDescent="0.25">
      <c r="A80" s="38"/>
      <c r="B80" s="162"/>
      <c r="C80" s="163" t="s">
        <v>179</v>
      </c>
      <c r="D80" s="163">
        <v>3</v>
      </c>
      <c r="E80" s="163" t="s">
        <v>411</v>
      </c>
      <c r="F80" s="163">
        <v>0</v>
      </c>
      <c r="G80" s="163">
        <v>0</v>
      </c>
      <c r="H80" s="163">
        <v>16</v>
      </c>
      <c r="I80" s="163">
        <v>135435</v>
      </c>
      <c r="J80" s="163" t="s">
        <v>304</v>
      </c>
    </row>
    <row r="81" spans="1:10" ht="15" x14ac:dyDescent="0.25">
      <c r="A81" s="38"/>
      <c r="B81" s="162"/>
      <c r="C81" s="163" t="s">
        <v>180</v>
      </c>
      <c r="D81" s="163">
        <v>2</v>
      </c>
      <c r="E81" s="163" t="s">
        <v>414</v>
      </c>
      <c r="F81" s="163"/>
      <c r="G81" s="163"/>
      <c r="H81" s="163"/>
      <c r="I81" s="163">
        <v>40056</v>
      </c>
      <c r="J81" s="163" t="s">
        <v>304</v>
      </c>
    </row>
    <row r="82" spans="1:10" ht="15" x14ac:dyDescent="0.25">
      <c r="A82" s="38"/>
      <c r="B82" s="162"/>
      <c r="C82" s="163" t="s">
        <v>181</v>
      </c>
      <c r="D82" s="163">
        <v>6</v>
      </c>
      <c r="E82" s="163" t="s">
        <v>411</v>
      </c>
      <c r="F82" s="163">
        <v>0</v>
      </c>
      <c r="G82" s="163">
        <v>2</v>
      </c>
      <c r="H82" s="163">
        <v>29</v>
      </c>
      <c r="I82" s="163">
        <v>145149</v>
      </c>
      <c r="J82" s="163" t="s">
        <v>303</v>
      </c>
    </row>
    <row r="83" spans="1:10" ht="15" x14ac:dyDescent="0.25">
      <c r="A83" s="38"/>
      <c r="B83" s="162"/>
      <c r="C83" s="163" t="s">
        <v>182</v>
      </c>
      <c r="D83" s="163">
        <v>2</v>
      </c>
      <c r="E83" s="163" t="s">
        <v>411</v>
      </c>
      <c r="F83" s="163">
        <v>0</v>
      </c>
      <c r="G83" s="163">
        <v>0</v>
      </c>
      <c r="H83" s="163">
        <v>0</v>
      </c>
      <c r="I83" s="163">
        <v>21074</v>
      </c>
      <c r="J83" s="163" t="s">
        <v>304</v>
      </c>
    </row>
    <row r="84" spans="1:10" ht="15" x14ac:dyDescent="0.25">
      <c r="A84" s="38"/>
      <c r="B84" s="162"/>
      <c r="C84" s="163" t="s">
        <v>183</v>
      </c>
      <c r="D84" s="163">
        <v>1</v>
      </c>
      <c r="E84" s="163" t="s">
        <v>411</v>
      </c>
      <c r="F84" s="163">
        <v>0</v>
      </c>
      <c r="G84" s="163">
        <v>0</v>
      </c>
      <c r="H84" s="163">
        <v>2</v>
      </c>
      <c r="I84" s="163">
        <v>168927</v>
      </c>
      <c r="J84" s="163" t="s">
        <v>304</v>
      </c>
    </row>
    <row r="85" spans="1:10" ht="15" x14ac:dyDescent="0.25">
      <c r="A85" s="38"/>
      <c r="B85" s="162"/>
      <c r="C85" s="163" t="s">
        <v>184</v>
      </c>
      <c r="D85" s="163">
        <v>2</v>
      </c>
      <c r="E85" s="163" t="s">
        <v>414</v>
      </c>
      <c r="F85" s="163"/>
      <c r="G85" s="163"/>
      <c r="H85" s="163"/>
      <c r="I85" s="163">
        <v>187868</v>
      </c>
      <c r="J85" s="163" t="s">
        <v>304</v>
      </c>
    </row>
    <row r="86" spans="1:10" ht="15" x14ac:dyDescent="0.25">
      <c r="A86" s="38"/>
      <c r="B86" s="162"/>
      <c r="C86" s="163" t="s">
        <v>185</v>
      </c>
      <c r="D86" s="163">
        <v>8</v>
      </c>
      <c r="E86" s="163" t="s">
        <v>414</v>
      </c>
      <c r="F86" s="163"/>
      <c r="G86" s="163"/>
      <c r="H86" s="163"/>
      <c r="I86" s="163">
        <v>418235</v>
      </c>
      <c r="J86" s="163" t="s">
        <v>303</v>
      </c>
    </row>
    <row r="87" spans="1:10" ht="15" x14ac:dyDescent="0.25">
      <c r="A87" s="38"/>
      <c r="B87" s="162"/>
      <c r="C87" s="163" t="s">
        <v>186</v>
      </c>
      <c r="D87" s="163">
        <v>3</v>
      </c>
      <c r="E87" s="163" t="s">
        <v>414</v>
      </c>
      <c r="F87" s="163"/>
      <c r="G87" s="163"/>
      <c r="H87" s="163"/>
      <c r="I87" s="163">
        <v>14190</v>
      </c>
      <c r="J87" s="163" t="s">
        <v>304</v>
      </c>
    </row>
    <row r="88" spans="1:10" ht="15" x14ac:dyDescent="0.25">
      <c r="A88" s="38"/>
      <c r="B88" s="162"/>
      <c r="C88" s="163" t="s">
        <v>187</v>
      </c>
      <c r="D88" s="163">
        <v>3</v>
      </c>
      <c r="E88" s="163" t="s">
        <v>411</v>
      </c>
      <c r="F88" s="163">
        <v>0</v>
      </c>
      <c r="G88" s="163">
        <v>0</v>
      </c>
      <c r="H88" s="163">
        <v>0</v>
      </c>
      <c r="I88" s="163">
        <v>20261</v>
      </c>
      <c r="J88" s="163" t="s">
        <v>304</v>
      </c>
    </row>
    <row r="89" spans="1:10" ht="15" x14ac:dyDescent="0.25">
      <c r="A89" s="38"/>
      <c r="B89" s="162"/>
      <c r="C89" s="163" t="s">
        <v>188</v>
      </c>
      <c r="D89" s="163">
        <v>1</v>
      </c>
      <c r="E89" s="163" t="s">
        <v>411</v>
      </c>
      <c r="F89" s="163">
        <v>0</v>
      </c>
      <c r="G89" s="163">
        <v>0</v>
      </c>
      <c r="H89" s="163">
        <v>0</v>
      </c>
      <c r="I89" s="163">
        <v>493682</v>
      </c>
      <c r="J89" s="163" t="s">
        <v>303</v>
      </c>
    </row>
    <row r="90" spans="1:10" ht="15" x14ac:dyDescent="0.25">
      <c r="A90" s="38"/>
      <c r="B90" s="162"/>
      <c r="C90" s="163" t="s">
        <v>189</v>
      </c>
      <c r="D90" s="163">
        <v>4</v>
      </c>
      <c r="E90" s="163" t="s">
        <v>414</v>
      </c>
      <c r="F90" s="163"/>
      <c r="G90" s="163"/>
      <c r="H90" s="163"/>
      <c r="I90" s="163">
        <v>129357</v>
      </c>
      <c r="J90" s="163" t="s">
        <v>304</v>
      </c>
    </row>
    <row r="91" spans="1:10" ht="15" x14ac:dyDescent="0.25">
      <c r="A91" s="38"/>
      <c r="B91" s="162"/>
      <c r="C91" s="163" t="s">
        <v>190</v>
      </c>
      <c r="D91" s="163">
        <v>5</v>
      </c>
      <c r="E91" s="163" t="s">
        <v>414</v>
      </c>
      <c r="F91" s="163"/>
      <c r="G91" s="163"/>
      <c r="H91" s="163"/>
      <c r="I91" s="163">
        <v>90421</v>
      </c>
      <c r="J91" s="163" t="s">
        <v>303</v>
      </c>
    </row>
    <row r="92" spans="1:10" ht="15" x14ac:dyDescent="0.25">
      <c r="A92" s="38"/>
      <c r="B92" s="162"/>
      <c r="C92" s="163" t="s">
        <v>191</v>
      </c>
      <c r="D92" s="163">
        <v>1</v>
      </c>
      <c r="E92" s="163" t="s">
        <v>414</v>
      </c>
      <c r="F92" s="163"/>
      <c r="G92" s="163"/>
      <c r="H92" s="163"/>
      <c r="I92" s="163">
        <v>31933</v>
      </c>
      <c r="J92" s="163" t="s">
        <v>304</v>
      </c>
    </row>
    <row r="93" spans="1:10" ht="15" x14ac:dyDescent="0.25">
      <c r="A93" s="38"/>
      <c r="B93" s="162"/>
      <c r="C93" s="163" t="s">
        <v>192</v>
      </c>
      <c r="D93" s="163">
        <v>3</v>
      </c>
      <c r="E93" s="163" t="s">
        <v>414</v>
      </c>
      <c r="F93" s="163"/>
      <c r="G93" s="163"/>
      <c r="H93" s="163"/>
      <c r="I93" s="163">
        <v>80070</v>
      </c>
      <c r="J93" s="163" t="s">
        <v>304</v>
      </c>
    </row>
    <row r="94" spans="1:10" ht="15" x14ac:dyDescent="0.25">
      <c r="A94" s="38"/>
      <c r="B94" s="162"/>
      <c r="C94" s="163" t="s">
        <v>193</v>
      </c>
      <c r="D94" s="163">
        <v>3</v>
      </c>
      <c r="E94" s="163" t="s">
        <v>414</v>
      </c>
      <c r="F94" s="163"/>
      <c r="G94" s="163"/>
      <c r="H94" s="163"/>
      <c r="I94" s="163">
        <v>59442</v>
      </c>
      <c r="J94" s="163" t="s">
        <v>304</v>
      </c>
    </row>
    <row r="95" spans="1:10" ht="15" x14ac:dyDescent="0.25">
      <c r="A95" s="38"/>
      <c r="B95" s="162"/>
      <c r="C95" s="163" t="s">
        <v>200</v>
      </c>
      <c r="D95" s="163">
        <v>1</v>
      </c>
      <c r="E95" s="163" t="s">
        <v>411</v>
      </c>
      <c r="F95" s="163">
        <v>0</v>
      </c>
      <c r="G95" s="163">
        <v>0</v>
      </c>
      <c r="H95" s="163">
        <v>26</v>
      </c>
      <c r="I95" s="163">
        <v>98952</v>
      </c>
      <c r="J95" s="163" t="s">
        <v>304</v>
      </c>
    </row>
    <row r="96" spans="1:10" ht="15" x14ac:dyDescent="0.25">
      <c r="A96" s="38"/>
      <c r="B96" s="162"/>
      <c r="C96" s="163" t="s">
        <v>194</v>
      </c>
      <c r="D96" s="163">
        <v>3</v>
      </c>
      <c r="E96" s="163" t="s">
        <v>414</v>
      </c>
      <c r="F96" s="163"/>
      <c r="G96" s="163"/>
      <c r="H96" s="163"/>
      <c r="I96" s="163">
        <v>47528</v>
      </c>
      <c r="J96" s="163" t="s">
        <v>304</v>
      </c>
    </row>
    <row r="97" spans="1:10" ht="15" x14ac:dyDescent="0.25">
      <c r="A97" s="38"/>
      <c r="B97" s="162"/>
      <c r="C97" s="163" t="s">
        <v>195</v>
      </c>
      <c r="D97" s="163">
        <v>1</v>
      </c>
      <c r="E97" s="163" t="s">
        <v>414</v>
      </c>
      <c r="F97" s="163"/>
      <c r="G97" s="163"/>
      <c r="H97" s="163"/>
      <c r="I97" s="163">
        <v>229700</v>
      </c>
      <c r="J97" s="163" t="s">
        <v>304</v>
      </c>
    </row>
    <row r="98" spans="1:10" ht="15" x14ac:dyDescent="0.25">
      <c r="A98" s="38"/>
      <c r="B98" s="162"/>
      <c r="C98" s="163" t="s">
        <v>196</v>
      </c>
      <c r="D98" s="163">
        <v>2</v>
      </c>
      <c r="E98" s="163" t="s">
        <v>414</v>
      </c>
      <c r="F98" s="163"/>
      <c r="G98" s="163"/>
      <c r="H98" s="163"/>
      <c r="I98" s="163">
        <v>56888</v>
      </c>
      <c r="J98" s="163" t="s">
        <v>304</v>
      </c>
    </row>
    <row r="99" spans="1:10" ht="15" x14ac:dyDescent="0.25">
      <c r="A99" s="38"/>
      <c r="B99" s="162"/>
      <c r="C99" s="163" t="s">
        <v>197</v>
      </c>
      <c r="D99" s="163">
        <v>2</v>
      </c>
      <c r="E99" s="163" t="s">
        <v>414</v>
      </c>
      <c r="F99" s="163"/>
      <c r="G99" s="163"/>
      <c r="H99" s="163"/>
      <c r="I99" s="163">
        <v>73629</v>
      </c>
      <c r="J99" s="163" t="s">
        <v>304</v>
      </c>
    </row>
    <row r="100" spans="1:10" ht="15" x14ac:dyDescent="0.25">
      <c r="A100" s="38"/>
      <c r="B100" s="162"/>
      <c r="C100" s="163" t="s">
        <v>198</v>
      </c>
      <c r="D100" s="163">
        <v>2</v>
      </c>
      <c r="E100" s="163" t="s">
        <v>414</v>
      </c>
      <c r="F100" s="163"/>
      <c r="G100" s="163"/>
      <c r="H100" s="163"/>
      <c r="I100" s="163">
        <v>250539</v>
      </c>
      <c r="J100" s="163" t="s">
        <v>304</v>
      </c>
    </row>
    <row r="101" spans="1:10" ht="15.75" thickBot="1" x14ac:dyDescent="0.3">
      <c r="A101" s="38"/>
      <c r="B101" s="162"/>
      <c r="C101" s="180" t="s">
        <v>199</v>
      </c>
      <c r="D101" s="180">
        <v>2</v>
      </c>
      <c r="E101" s="180" t="s">
        <v>414</v>
      </c>
      <c r="F101" s="180"/>
      <c r="G101" s="180"/>
      <c r="H101" s="180"/>
      <c r="I101" s="163">
        <v>100394</v>
      </c>
      <c r="J101" s="163" t="s">
        <v>304</v>
      </c>
    </row>
    <row r="102" spans="1:10" ht="15.75" thickBot="1" x14ac:dyDescent="0.3">
      <c r="A102" s="38"/>
      <c r="B102" s="178"/>
      <c r="C102" s="183" t="s">
        <v>368</v>
      </c>
      <c r="D102" s="184"/>
      <c r="E102" s="184"/>
      <c r="F102" s="185">
        <f>SUM(F70:F101)</f>
        <v>0</v>
      </c>
      <c r="G102" s="185">
        <f t="shared" ref="G102:H102" si="9">SUM(G70:G101)</f>
        <v>6</v>
      </c>
      <c r="H102" s="185">
        <f t="shared" si="9"/>
        <v>198</v>
      </c>
      <c r="I102" s="179"/>
      <c r="J102" s="163"/>
    </row>
    <row r="103" spans="1:10" ht="15" x14ac:dyDescent="0.25">
      <c r="A103" s="54"/>
      <c r="B103" s="123" t="s">
        <v>89</v>
      </c>
      <c r="C103" s="181" t="s">
        <v>201</v>
      </c>
      <c r="D103" s="181">
        <v>2</v>
      </c>
      <c r="E103" s="181" t="s">
        <v>414</v>
      </c>
      <c r="F103" s="181"/>
      <c r="G103" s="181"/>
      <c r="H103" s="181"/>
      <c r="I103" s="124">
        <v>236774</v>
      </c>
      <c r="J103" s="124" t="s">
        <v>304</v>
      </c>
    </row>
    <row r="104" spans="1:10" ht="15" x14ac:dyDescent="0.25">
      <c r="A104" s="54"/>
      <c r="B104" s="123">
        <v>40</v>
      </c>
      <c r="C104" s="124" t="s">
        <v>202</v>
      </c>
      <c r="D104" s="124">
        <v>1</v>
      </c>
      <c r="E104" s="124" t="s">
        <v>411</v>
      </c>
      <c r="F104" s="124">
        <v>0</v>
      </c>
      <c r="G104" s="124">
        <v>1</v>
      </c>
      <c r="H104" s="124">
        <v>29</v>
      </c>
      <c r="I104" s="124">
        <v>29004</v>
      </c>
      <c r="J104" s="124" t="s">
        <v>304</v>
      </c>
    </row>
    <row r="105" spans="1:10" ht="15" x14ac:dyDescent="0.25">
      <c r="A105" s="54"/>
      <c r="B105" s="123"/>
      <c r="C105" s="124" t="s">
        <v>203</v>
      </c>
      <c r="D105" s="124">
        <v>1</v>
      </c>
      <c r="E105" s="124" t="s">
        <v>411</v>
      </c>
      <c r="F105" s="124">
        <v>0</v>
      </c>
      <c r="G105" s="124">
        <v>0</v>
      </c>
      <c r="H105" s="124">
        <v>4</v>
      </c>
      <c r="I105" s="124">
        <v>7800</v>
      </c>
      <c r="J105" s="124" t="s">
        <v>304</v>
      </c>
    </row>
    <row r="106" spans="1:10" ht="15" x14ac:dyDescent="0.25">
      <c r="A106" s="54"/>
      <c r="B106" s="123"/>
      <c r="C106" s="124" t="s">
        <v>204</v>
      </c>
      <c r="D106" s="124">
        <v>3</v>
      </c>
      <c r="E106" s="124" t="s">
        <v>414</v>
      </c>
      <c r="F106" s="124"/>
      <c r="G106" s="124"/>
      <c r="H106" s="124"/>
      <c r="I106" s="124">
        <v>116491</v>
      </c>
      <c r="J106" s="124" t="s">
        <v>304</v>
      </c>
    </row>
    <row r="107" spans="1:10" ht="15" x14ac:dyDescent="0.25">
      <c r="A107" s="54"/>
      <c r="B107" s="123"/>
      <c r="C107" s="124" t="s">
        <v>205</v>
      </c>
      <c r="D107" s="124">
        <v>2</v>
      </c>
      <c r="E107" s="124" t="s">
        <v>411</v>
      </c>
      <c r="F107" s="124">
        <v>0</v>
      </c>
      <c r="G107" s="124">
        <v>2</v>
      </c>
      <c r="H107" s="124">
        <v>0</v>
      </c>
      <c r="I107" s="124">
        <v>33135</v>
      </c>
      <c r="J107" s="124" t="s">
        <v>304</v>
      </c>
    </row>
    <row r="108" spans="1:10" ht="15" x14ac:dyDescent="0.25">
      <c r="A108" s="54"/>
      <c r="B108" s="123"/>
      <c r="C108" s="124" t="s">
        <v>206</v>
      </c>
      <c r="D108" s="124">
        <v>3</v>
      </c>
      <c r="E108" s="124" t="s">
        <v>414</v>
      </c>
      <c r="F108" s="124"/>
      <c r="G108" s="124"/>
      <c r="H108" s="124"/>
      <c r="I108" s="124">
        <v>64507</v>
      </c>
      <c r="J108" s="124" t="s">
        <v>304</v>
      </c>
    </row>
    <row r="109" spans="1:10" ht="15" x14ac:dyDescent="0.25">
      <c r="A109" s="54"/>
      <c r="B109" s="123"/>
      <c r="C109" s="124" t="s">
        <v>207</v>
      </c>
      <c r="D109" s="124">
        <v>1</v>
      </c>
      <c r="E109" s="124" t="s">
        <v>411</v>
      </c>
      <c r="F109" s="124">
        <v>0</v>
      </c>
      <c r="G109" s="124">
        <v>0</v>
      </c>
      <c r="H109" s="124">
        <v>17</v>
      </c>
      <c r="I109" s="124">
        <v>7250</v>
      </c>
      <c r="J109" s="124" t="s">
        <v>304</v>
      </c>
    </row>
    <row r="110" spans="1:10" ht="15" x14ac:dyDescent="0.25">
      <c r="A110" s="54"/>
      <c r="B110" s="123"/>
      <c r="C110" s="124" t="s">
        <v>208</v>
      </c>
      <c r="D110" s="124">
        <v>7</v>
      </c>
      <c r="E110" s="124" t="s">
        <v>414</v>
      </c>
      <c r="F110" s="124"/>
      <c r="G110" s="124"/>
      <c r="H110" s="124"/>
      <c r="I110" s="124">
        <v>128487</v>
      </c>
      <c r="J110" s="124" t="s">
        <v>303</v>
      </c>
    </row>
    <row r="111" spans="1:10" ht="15" x14ac:dyDescent="0.25">
      <c r="A111" s="54"/>
      <c r="B111" s="123"/>
      <c r="C111" s="124" t="s">
        <v>209</v>
      </c>
      <c r="D111" s="124">
        <v>2</v>
      </c>
      <c r="E111" s="124" t="s">
        <v>411</v>
      </c>
      <c r="F111" s="124">
        <v>0</v>
      </c>
      <c r="G111" s="124">
        <v>2</v>
      </c>
      <c r="H111" s="124">
        <v>8</v>
      </c>
      <c r="I111" s="124">
        <v>47905</v>
      </c>
      <c r="J111" s="124" t="s">
        <v>304</v>
      </c>
    </row>
    <row r="112" spans="1:10" ht="15" x14ac:dyDescent="0.25">
      <c r="A112" s="54"/>
      <c r="B112" s="123"/>
      <c r="C112" s="124" t="s">
        <v>210</v>
      </c>
      <c r="D112" s="124">
        <v>1</v>
      </c>
      <c r="E112" s="124" t="s">
        <v>411</v>
      </c>
      <c r="F112" s="124">
        <v>0</v>
      </c>
      <c r="G112" s="124">
        <v>0</v>
      </c>
      <c r="H112" s="124">
        <v>25</v>
      </c>
      <c r="I112" s="124">
        <v>30674</v>
      </c>
      <c r="J112" s="124" t="s">
        <v>304</v>
      </c>
    </row>
    <row r="113" spans="1:10" ht="15" x14ac:dyDescent="0.25">
      <c r="A113" s="54"/>
      <c r="B113" s="123"/>
      <c r="C113" s="124" t="s">
        <v>418</v>
      </c>
      <c r="D113" s="124">
        <v>1</v>
      </c>
      <c r="E113" s="124" t="s">
        <v>411</v>
      </c>
      <c r="F113" s="124">
        <v>0</v>
      </c>
      <c r="G113" s="124">
        <v>0</v>
      </c>
      <c r="H113" s="124">
        <v>10</v>
      </c>
      <c r="I113" s="124">
        <v>12270</v>
      </c>
      <c r="J113" s="124" t="s">
        <v>304</v>
      </c>
    </row>
    <row r="114" spans="1:10" ht="15" x14ac:dyDescent="0.25">
      <c r="A114" s="54"/>
      <c r="B114" s="123"/>
      <c r="C114" s="124" t="s">
        <v>211</v>
      </c>
      <c r="D114" s="124">
        <v>1</v>
      </c>
      <c r="E114" s="124" t="s">
        <v>414</v>
      </c>
      <c r="F114" s="124"/>
      <c r="G114" s="124"/>
      <c r="H114" s="124"/>
      <c r="I114" s="124">
        <v>215790</v>
      </c>
      <c r="J114" s="124" t="s">
        <v>304</v>
      </c>
    </row>
    <row r="115" spans="1:10" ht="15" x14ac:dyDescent="0.25">
      <c r="A115" s="54"/>
      <c r="B115" s="123"/>
      <c r="C115" s="124" t="s">
        <v>212</v>
      </c>
      <c r="D115" s="124">
        <v>1</v>
      </c>
      <c r="E115" s="124" t="s">
        <v>414</v>
      </c>
      <c r="F115" s="124"/>
      <c r="G115" s="124"/>
      <c r="H115" s="124"/>
      <c r="I115" s="124">
        <v>84248</v>
      </c>
      <c r="J115" s="124" t="s">
        <v>304</v>
      </c>
    </row>
    <row r="116" spans="1:10" ht="15" x14ac:dyDescent="0.25">
      <c r="A116" s="54"/>
      <c r="B116" s="123"/>
      <c r="C116" s="124" t="s">
        <v>213</v>
      </c>
      <c r="D116" s="124">
        <v>3</v>
      </c>
      <c r="E116" s="124" t="s">
        <v>414</v>
      </c>
      <c r="F116" s="124"/>
      <c r="G116" s="124"/>
      <c r="H116" s="124"/>
      <c r="I116" s="124">
        <v>76795</v>
      </c>
      <c r="J116" s="124" t="s">
        <v>304</v>
      </c>
    </row>
    <row r="117" spans="1:10" ht="15" x14ac:dyDescent="0.25">
      <c r="A117" s="54"/>
      <c r="B117" s="123"/>
      <c r="C117" s="124" t="s">
        <v>214</v>
      </c>
      <c r="D117" s="124">
        <v>1</v>
      </c>
      <c r="E117" s="124" t="s">
        <v>414</v>
      </c>
      <c r="F117" s="124"/>
      <c r="G117" s="124"/>
      <c r="H117" s="124"/>
      <c r="I117" s="124">
        <v>54998</v>
      </c>
      <c r="J117" s="124" t="s">
        <v>304</v>
      </c>
    </row>
    <row r="118" spans="1:10" ht="15" x14ac:dyDescent="0.25">
      <c r="A118" s="54"/>
      <c r="B118" s="123"/>
      <c r="C118" s="124" t="s">
        <v>215</v>
      </c>
      <c r="D118" s="124">
        <v>1</v>
      </c>
      <c r="E118" s="124" t="s">
        <v>411</v>
      </c>
      <c r="F118" s="124">
        <v>0</v>
      </c>
      <c r="G118" s="124">
        <v>0</v>
      </c>
      <c r="H118" s="124">
        <v>6</v>
      </c>
      <c r="I118" s="124">
        <v>10788</v>
      </c>
      <c r="J118" s="124" t="s">
        <v>304</v>
      </c>
    </row>
    <row r="119" spans="1:10" ht="15" x14ac:dyDescent="0.25">
      <c r="A119" s="54"/>
      <c r="B119" s="123"/>
      <c r="C119" s="124" t="s">
        <v>216</v>
      </c>
      <c r="D119" s="124">
        <v>6</v>
      </c>
      <c r="E119" s="124" t="s">
        <v>414</v>
      </c>
      <c r="F119" s="124"/>
      <c r="G119" s="124"/>
      <c r="H119" s="124"/>
      <c r="I119" s="124">
        <v>114094</v>
      </c>
      <c r="J119" s="124" t="s">
        <v>303</v>
      </c>
    </row>
    <row r="120" spans="1:10" ht="15" x14ac:dyDescent="0.25">
      <c r="A120" s="54"/>
      <c r="B120" s="123"/>
      <c r="C120" s="124" t="s">
        <v>217</v>
      </c>
      <c r="D120" s="124">
        <v>5</v>
      </c>
      <c r="E120" s="124" t="s">
        <v>414</v>
      </c>
      <c r="F120" s="124"/>
      <c r="G120" s="124"/>
      <c r="H120" s="124"/>
      <c r="I120" s="124">
        <v>167010</v>
      </c>
      <c r="J120" s="124" t="s">
        <v>303</v>
      </c>
    </row>
    <row r="121" spans="1:10" ht="15" x14ac:dyDescent="0.25">
      <c r="A121" s="54"/>
      <c r="B121" s="123"/>
      <c r="C121" s="124" t="s">
        <v>218</v>
      </c>
      <c r="D121" s="124">
        <v>2</v>
      </c>
      <c r="E121" s="124" t="s">
        <v>414</v>
      </c>
      <c r="F121" s="124"/>
      <c r="G121" s="124"/>
      <c r="H121" s="124"/>
      <c r="I121" s="124">
        <v>103857</v>
      </c>
      <c r="J121" s="124" t="s">
        <v>304</v>
      </c>
    </row>
    <row r="122" spans="1:10" ht="15" x14ac:dyDescent="0.25">
      <c r="A122" s="54"/>
      <c r="B122" s="123"/>
      <c r="C122" s="124" t="s">
        <v>219</v>
      </c>
      <c r="D122" s="124">
        <v>3</v>
      </c>
      <c r="E122" s="124" t="s">
        <v>411</v>
      </c>
      <c r="F122" s="124">
        <v>0</v>
      </c>
      <c r="G122" s="124">
        <v>8</v>
      </c>
      <c r="H122" s="124">
        <v>2</v>
      </c>
      <c r="I122" s="124">
        <v>56820</v>
      </c>
      <c r="J122" s="124" t="s">
        <v>304</v>
      </c>
    </row>
    <row r="123" spans="1:10" ht="15" x14ac:dyDescent="0.25">
      <c r="A123" s="54"/>
      <c r="B123" s="123"/>
      <c r="C123" s="124" t="s">
        <v>220</v>
      </c>
      <c r="D123" s="124">
        <v>7</v>
      </c>
      <c r="E123" s="124" t="s">
        <v>414</v>
      </c>
      <c r="F123" s="124"/>
      <c r="G123" s="124"/>
      <c r="H123" s="124"/>
      <c r="I123" s="124">
        <v>73788</v>
      </c>
      <c r="J123" s="124" t="s">
        <v>303</v>
      </c>
    </row>
    <row r="124" spans="1:10" ht="15" x14ac:dyDescent="0.25">
      <c r="A124" s="54"/>
      <c r="B124" s="123"/>
      <c r="C124" s="124" t="s">
        <v>221</v>
      </c>
      <c r="D124" s="124">
        <v>1</v>
      </c>
      <c r="E124" s="124" t="s">
        <v>411</v>
      </c>
      <c r="F124" s="124">
        <v>0</v>
      </c>
      <c r="G124" s="124">
        <v>0</v>
      </c>
      <c r="H124" s="124">
        <v>3</v>
      </c>
      <c r="I124" s="124">
        <v>4789</v>
      </c>
      <c r="J124" s="124" t="s">
        <v>304</v>
      </c>
    </row>
    <row r="125" spans="1:10" ht="15" x14ac:dyDescent="0.25">
      <c r="A125" s="54"/>
      <c r="B125" s="123"/>
      <c r="C125" s="124" t="s">
        <v>222</v>
      </c>
      <c r="D125" s="124">
        <v>1</v>
      </c>
      <c r="E125" s="124" t="s">
        <v>411</v>
      </c>
      <c r="F125" s="124">
        <v>0</v>
      </c>
      <c r="G125" s="124">
        <v>2</v>
      </c>
      <c r="H125" s="124">
        <v>0</v>
      </c>
      <c r="I125" s="124">
        <v>15615</v>
      </c>
      <c r="J125" s="124" t="s">
        <v>304</v>
      </c>
    </row>
    <row r="126" spans="1:10" ht="15" x14ac:dyDescent="0.25">
      <c r="A126" s="54"/>
      <c r="B126" s="123"/>
      <c r="C126" s="124" t="s">
        <v>223</v>
      </c>
      <c r="D126" s="124">
        <v>1</v>
      </c>
      <c r="E126" s="124" t="s">
        <v>411</v>
      </c>
      <c r="F126" s="124">
        <v>0</v>
      </c>
      <c r="G126" s="124">
        <v>0</v>
      </c>
      <c r="H126" s="124">
        <v>0</v>
      </c>
      <c r="I126" s="124">
        <v>5756</v>
      </c>
      <c r="J126" s="124" t="s">
        <v>304</v>
      </c>
    </row>
    <row r="127" spans="1:10" ht="15" x14ac:dyDescent="0.25">
      <c r="A127" s="54"/>
      <c r="B127" s="123"/>
      <c r="C127" s="124" t="s">
        <v>224</v>
      </c>
      <c r="D127" s="124">
        <v>2</v>
      </c>
      <c r="E127" s="124" t="s">
        <v>411</v>
      </c>
      <c r="F127" s="124">
        <v>0</v>
      </c>
      <c r="G127" s="124">
        <v>0</v>
      </c>
      <c r="H127" s="124">
        <v>0</v>
      </c>
      <c r="I127" s="124">
        <v>5857</v>
      </c>
      <c r="J127" s="124" t="s">
        <v>304</v>
      </c>
    </row>
    <row r="128" spans="1:10" ht="15" x14ac:dyDescent="0.25">
      <c r="A128" s="54"/>
      <c r="B128" s="123"/>
      <c r="C128" s="124" t="s">
        <v>225</v>
      </c>
      <c r="D128" s="124">
        <v>1</v>
      </c>
      <c r="E128" s="124" t="s">
        <v>411</v>
      </c>
      <c r="F128" s="124">
        <v>0</v>
      </c>
      <c r="G128" s="124">
        <v>0</v>
      </c>
      <c r="H128" s="124">
        <v>3</v>
      </c>
      <c r="I128" s="124">
        <v>15262</v>
      </c>
      <c r="J128" s="124" t="s">
        <v>304</v>
      </c>
    </row>
    <row r="129" spans="1:10" ht="15" x14ac:dyDescent="0.25">
      <c r="A129" s="54"/>
      <c r="B129" s="123"/>
      <c r="C129" s="124" t="s">
        <v>226</v>
      </c>
      <c r="D129" s="124">
        <v>1</v>
      </c>
      <c r="E129" s="124" t="s">
        <v>414</v>
      </c>
      <c r="F129" s="124"/>
      <c r="G129" s="124"/>
      <c r="H129" s="124"/>
      <c r="I129" s="124">
        <v>47906</v>
      </c>
      <c r="J129" s="124" t="s">
        <v>304</v>
      </c>
    </row>
    <row r="130" spans="1:10" ht="15" x14ac:dyDescent="0.25">
      <c r="A130" s="54"/>
      <c r="B130" s="123"/>
      <c r="C130" s="124" t="s">
        <v>227</v>
      </c>
      <c r="D130" s="124">
        <v>2</v>
      </c>
      <c r="E130" s="124" t="s">
        <v>411</v>
      </c>
      <c r="F130" s="124">
        <v>0</v>
      </c>
      <c r="G130" s="124">
        <v>0</v>
      </c>
      <c r="H130" s="124">
        <v>0</v>
      </c>
      <c r="I130" s="124">
        <v>111945</v>
      </c>
      <c r="J130" s="124" t="s">
        <v>304</v>
      </c>
    </row>
    <row r="131" spans="1:10" ht="15" x14ac:dyDescent="0.25">
      <c r="A131" s="54"/>
      <c r="B131" s="123"/>
      <c r="C131" s="124" t="s">
        <v>228</v>
      </c>
      <c r="D131" s="124">
        <v>1</v>
      </c>
      <c r="E131" s="124" t="s">
        <v>411</v>
      </c>
      <c r="F131" s="124">
        <v>0</v>
      </c>
      <c r="G131" s="124">
        <v>1</v>
      </c>
      <c r="H131" s="124">
        <v>5</v>
      </c>
      <c r="I131" s="124">
        <v>16731</v>
      </c>
      <c r="J131" s="124" t="s">
        <v>304</v>
      </c>
    </row>
    <row r="132" spans="1:10" ht="15" x14ac:dyDescent="0.25">
      <c r="A132" s="54"/>
      <c r="B132" s="123"/>
      <c r="C132" s="124" t="s">
        <v>229</v>
      </c>
      <c r="D132" s="124">
        <v>5</v>
      </c>
      <c r="E132" s="124" t="s">
        <v>414</v>
      </c>
      <c r="F132" s="124"/>
      <c r="G132" s="124"/>
      <c r="H132" s="124"/>
      <c r="I132" s="124">
        <v>144374</v>
      </c>
      <c r="J132" s="124" t="s">
        <v>303</v>
      </c>
    </row>
    <row r="133" spans="1:10" ht="15" x14ac:dyDescent="0.25">
      <c r="A133" s="54"/>
      <c r="B133" s="123"/>
      <c r="C133" s="124" t="s">
        <v>230</v>
      </c>
      <c r="D133" s="124">
        <v>1</v>
      </c>
      <c r="E133" s="124" t="s">
        <v>411</v>
      </c>
      <c r="F133" s="124">
        <v>0</v>
      </c>
      <c r="G133" s="124">
        <v>2</v>
      </c>
      <c r="H133" s="124">
        <v>0</v>
      </c>
      <c r="I133" s="124">
        <v>6694</v>
      </c>
      <c r="J133" s="124" t="s">
        <v>304</v>
      </c>
    </row>
    <row r="134" spans="1:10" ht="15" x14ac:dyDescent="0.25">
      <c r="A134" s="54"/>
      <c r="B134" s="123"/>
      <c r="C134" s="124" t="s">
        <v>231</v>
      </c>
      <c r="D134" s="124">
        <v>2</v>
      </c>
      <c r="E134" s="124" t="s">
        <v>411</v>
      </c>
      <c r="F134" s="124">
        <v>0</v>
      </c>
      <c r="G134" s="124">
        <v>5</v>
      </c>
      <c r="H134" s="124">
        <v>20</v>
      </c>
      <c r="I134" s="124">
        <v>31235</v>
      </c>
      <c r="J134" s="124" t="s">
        <v>304</v>
      </c>
    </row>
    <row r="135" spans="1:10" ht="15" x14ac:dyDescent="0.25">
      <c r="A135" s="54"/>
      <c r="B135" s="123"/>
      <c r="C135" s="124" t="s">
        <v>232</v>
      </c>
      <c r="D135" s="124">
        <v>6</v>
      </c>
      <c r="E135" s="124" t="s">
        <v>414</v>
      </c>
      <c r="F135" s="124"/>
      <c r="G135" s="124"/>
      <c r="H135" s="124"/>
      <c r="I135" s="124">
        <v>409987</v>
      </c>
      <c r="J135" s="124" t="s">
        <v>303</v>
      </c>
    </row>
    <row r="136" spans="1:10" ht="15" x14ac:dyDescent="0.25">
      <c r="A136" s="54"/>
      <c r="B136" s="123"/>
      <c r="C136" s="124" t="s">
        <v>233</v>
      </c>
      <c r="D136" s="124">
        <v>4</v>
      </c>
      <c r="E136" s="124" t="s">
        <v>414</v>
      </c>
      <c r="F136" s="124"/>
      <c r="G136" s="124"/>
      <c r="H136" s="124"/>
      <c r="I136" s="124">
        <v>186205</v>
      </c>
      <c r="J136" s="124" t="s">
        <v>304</v>
      </c>
    </row>
    <row r="137" spans="1:10" ht="15" x14ac:dyDescent="0.25">
      <c r="A137" s="54"/>
      <c r="B137" s="123"/>
      <c r="C137" s="124" t="s">
        <v>234</v>
      </c>
      <c r="D137" s="124">
        <v>1</v>
      </c>
      <c r="E137" s="124" t="s">
        <v>411</v>
      </c>
      <c r="F137" s="124">
        <v>0</v>
      </c>
      <c r="G137" s="124">
        <v>0</v>
      </c>
      <c r="H137" s="124">
        <v>3</v>
      </c>
      <c r="I137" s="124">
        <v>16618</v>
      </c>
      <c r="J137" s="124" t="s">
        <v>304</v>
      </c>
    </row>
    <row r="138" spans="1:10" ht="15" x14ac:dyDescent="0.25">
      <c r="A138" s="54"/>
      <c r="B138" s="123"/>
      <c r="C138" s="124" t="s">
        <v>235</v>
      </c>
      <c r="D138" s="124">
        <v>1</v>
      </c>
      <c r="E138" s="124" t="s">
        <v>411</v>
      </c>
      <c r="F138" s="124">
        <v>0</v>
      </c>
      <c r="G138" s="124">
        <v>2</v>
      </c>
      <c r="H138" s="124">
        <v>8</v>
      </c>
      <c r="I138" s="124">
        <v>14068</v>
      </c>
      <c r="J138" s="124" t="s">
        <v>304</v>
      </c>
    </row>
    <row r="139" spans="1:10" ht="15" x14ac:dyDescent="0.25">
      <c r="A139" s="54"/>
      <c r="B139" s="123"/>
      <c r="C139" s="124" t="s">
        <v>236</v>
      </c>
      <c r="D139" s="124">
        <v>1</v>
      </c>
      <c r="E139" s="124" t="s">
        <v>411</v>
      </c>
      <c r="F139" s="124">
        <v>0</v>
      </c>
      <c r="G139" s="124">
        <v>2</v>
      </c>
      <c r="H139" s="124">
        <v>0</v>
      </c>
      <c r="I139" s="124">
        <v>9761</v>
      </c>
      <c r="J139" s="124" t="s">
        <v>304</v>
      </c>
    </row>
    <row r="140" spans="1:10" ht="15" x14ac:dyDescent="0.25">
      <c r="A140" s="54"/>
      <c r="B140" s="123"/>
      <c r="C140" s="124" t="s">
        <v>237</v>
      </c>
      <c r="D140" s="124">
        <v>1</v>
      </c>
      <c r="E140" s="124" t="s">
        <v>411</v>
      </c>
      <c r="F140" s="124">
        <v>0</v>
      </c>
      <c r="G140" s="124">
        <v>0</v>
      </c>
      <c r="H140" s="124">
        <v>0</v>
      </c>
      <c r="I140" s="124">
        <v>27886</v>
      </c>
      <c r="J140" s="124" t="s">
        <v>304</v>
      </c>
    </row>
    <row r="141" spans="1:10" ht="15" x14ac:dyDescent="0.25">
      <c r="A141" s="54"/>
      <c r="B141" s="123"/>
      <c r="C141" s="124" t="s">
        <v>239</v>
      </c>
      <c r="D141" s="124">
        <v>2</v>
      </c>
      <c r="E141" s="124" t="s">
        <v>411</v>
      </c>
      <c r="F141" s="124">
        <v>0</v>
      </c>
      <c r="G141" s="124">
        <v>5</v>
      </c>
      <c r="H141" s="124">
        <v>0</v>
      </c>
      <c r="I141" s="124">
        <v>20169</v>
      </c>
      <c r="J141" s="124" t="s">
        <v>304</v>
      </c>
    </row>
    <row r="142" spans="1:10" ht="15.75" thickBot="1" x14ac:dyDescent="0.3">
      <c r="A142" s="54"/>
      <c r="B142" s="123"/>
      <c r="C142" s="168" t="s">
        <v>238</v>
      </c>
      <c r="D142" s="168">
        <v>1</v>
      </c>
      <c r="E142" s="168" t="s">
        <v>411</v>
      </c>
      <c r="F142" s="168">
        <v>0</v>
      </c>
      <c r="G142" s="168">
        <v>0</v>
      </c>
      <c r="H142" s="168">
        <v>0</v>
      </c>
      <c r="I142" s="124">
        <v>37499</v>
      </c>
      <c r="J142" s="124" t="s">
        <v>304</v>
      </c>
    </row>
    <row r="143" spans="1:10" ht="15.75" thickBot="1" x14ac:dyDescent="0.3">
      <c r="A143" s="54"/>
      <c r="B143" s="173"/>
      <c r="C143" s="175" t="s">
        <v>368</v>
      </c>
      <c r="D143" s="176"/>
      <c r="E143" s="176"/>
      <c r="F143" s="177">
        <f>SUM(F103:F142)</f>
        <v>0</v>
      </c>
      <c r="G143" s="177">
        <f t="shared" ref="G143:H143" si="10">SUM(G103:G142)</f>
        <v>32</v>
      </c>
      <c r="H143" s="177">
        <f t="shared" si="10"/>
        <v>143</v>
      </c>
      <c r="I143" s="167"/>
      <c r="J143" s="124"/>
    </row>
    <row r="144" spans="1:10" ht="15" x14ac:dyDescent="0.25">
      <c r="A144" s="38"/>
      <c r="B144" s="162" t="s">
        <v>95</v>
      </c>
      <c r="C144" s="169" t="s">
        <v>240</v>
      </c>
      <c r="D144" s="169">
        <v>3</v>
      </c>
      <c r="E144" s="169" t="s">
        <v>411</v>
      </c>
      <c r="F144" s="169">
        <v>316</v>
      </c>
      <c r="G144" s="169">
        <v>2</v>
      </c>
      <c r="H144" s="169">
        <v>60</v>
      </c>
      <c r="I144" s="163">
        <v>788759</v>
      </c>
      <c r="J144" s="163" t="s">
        <v>303</v>
      </c>
    </row>
    <row r="145" spans="1:10" ht="15" x14ac:dyDescent="0.25">
      <c r="A145" s="38"/>
      <c r="B145" s="162">
        <v>19</v>
      </c>
      <c r="C145" s="163" t="s">
        <v>241</v>
      </c>
      <c r="D145" s="163">
        <v>3</v>
      </c>
      <c r="E145" s="163" t="s">
        <v>414</v>
      </c>
      <c r="F145" s="163"/>
      <c r="G145" s="163"/>
      <c r="H145" s="163"/>
      <c r="I145" s="163">
        <v>239036</v>
      </c>
      <c r="J145" s="163" t="s">
        <v>304</v>
      </c>
    </row>
    <row r="146" spans="1:10" ht="15" x14ac:dyDescent="0.25">
      <c r="A146" s="38"/>
      <c r="B146" s="162"/>
      <c r="C146" s="163" t="s">
        <v>242</v>
      </c>
      <c r="D146" s="163">
        <v>6</v>
      </c>
      <c r="E146" s="163" t="s">
        <v>414</v>
      </c>
      <c r="F146" s="163"/>
      <c r="G146" s="163"/>
      <c r="H146" s="163"/>
      <c r="I146" s="163">
        <v>248927</v>
      </c>
      <c r="J146" s="163" t="s">
        <v>303</v>
      </c>
    </row>
    <row r="147" spans="1:10" ht="15" x14ac:dyDescent="0.25">
      <c r="A147" s="38"/>
      <c r="B147" s="162"/>
      <c r="C147" s="163" t="s">
        <v>243</v>
      </c>
      <c r="D147" s="163">
        <v>4</v>
      </c>
      <c r="E147" s="163" t="s">
        <v>414</v>
      </c>
      <c r="F147" s="163"/>
      <c r="G147" s="163"/>
      <c r="H147" s="163"/>
      <c r="I147" s="163">
        <v>18010</v>
      </c>
      <c r="J147" s="163" t="s">
        <v>304</v>
      </c>
    </row>
    <row r="148" spans="1:10" ht="15" x14ac:dyDescent="0.25">
      <c r="A148" s="38"/>
      <c r="B148" s="162"/>
      <c r="C148" s="163" t="s">
        <v>244</v>
      </c>
      <c r="D148" s="163">
        <v>1</v>
      </c>
      <c r="E148" s="163" t="s">
        <v>411</v>
      </c>
      <c r="F148" s="163">
        <v>0</v>
      </c>
      <c r="G148" s="163">
        <v>1</v>
      </c>
      <c r="H148" s="163">
        <v>11</v>
      </c>
      <c r="I148" s="163">
        <v>114103</v>
      </c>
      <c r="J148" s="163" t="s">
        <v>304</v>
      </c>
    </row>
    <row r="149" spans="1:10" ht="15" x14ac:dyDescent="0.25">
      <c r="A149" s="38"/>
      <c r="B149" s="162"/>
      <c r="C149" s="163" t="s">
        <v>245</v>
      </c>
      <c r="D149" s="163">
        <v>4</v>
      </c>
      <c r="E149" s="163" t="s">
        <v>411</v>
      </c>
      <c r="F149" s="163">
        <v>0</v>
      </c>
      <c r="G149" s="163">
        <v>0</v>
      </c>
      <c r="H149" s="163">
        <v>10</v>
      </c>
      <c r="I149" s="163">
        <v>175105</v>
      </c>
      <c r="J149" s="163" t="s">
        <v>304</v>
      </c>
    </row>
    <row r="150" spans="1:10" ht="15" x14ac:dyDescent="0.25">
      <c r="A150" s="38"/>
      <c r="B150" s="162"/>
      <c r="C150" s="163" t="s">
        <v>246</v>
      </c>
      <c r="D150" s="163">
        <v>2</v>
      </c>
      <c r="E150" s="163" t="s">
        <v>414</v>
      </c>
      <c r="F150" s="163"/>
      <c r="G150" s="163"/>
      <c r="H150" s="163"/>
      <c r="I150" s="163">
        <v>260027</v>
      </c>
      <c r="J150" s="163" t="s">
        <v>304</v>
      </c>
    </row>
    <row r="151" spans="1:10" ht="15" x14ac:dyDescent="0.25">
      <c r="A151" s="38"/>
      <c r="B151" s="162"/>
      <c r="C151" s="163" t="s">
        <v>247</v>
      </c>
      <c r="D151" s="163">
        <v>1</v>
      </c>
      <c r="E151" s="163" t="s">
        <v>411</v>
      </c>
      <c r="F151" s="163">
        <v>0</v>
      </c>
      <c r="G151" s="163">
        <v>3</v>
      </c>
      <c r="H151" s="163">
        <v>35</v>
      </c>
      <c r="I151" s="163">
        <v>60054</v>
      </c>
      <c r="J151" s="163" t="s">
        <v>304</v>
      </c>
    </row>
    <row r="152" spans="1:10" ht="15" x14ac:dyDescent="0.25">
      <c r="A152" s="38"/>
      <c r="B152" s="162"/>
      <c r="C152" s="163" t="s">
        <v>419</v>
      </c>
      <c r="D152" s="163">
        <v>3</v>
      </c>
      <c r="E152" s="163" t="s">
        <v>411</v>
      </c>
      <c r="F152" s="163">
        <v>0</v>
      </c>
      <c r="G152" s="163">
        <v>1</v>
      </c>
      <c r="H152" s="163">
        <v>3</v>
      </c>
      <c r="I152" s="163">
        <v>568335</v>
      </c>
      <c r="J152" s="163" t="s">
        <v>303</v>
      </c>
    </row>
    <row r="153" spans="1:10" ht="15" x14ac:dyDescent="0.25">
      <c r="A153" s="38"/>
      <c r="B153" s="162"/>
      <c r="C153" s="163" t="s">
        <v>248</v>
      </c>
      <c r="D153" s="163">
        <v>4</v>
      </c>
      <c r="E153" s="163" t="s">
        <v>411</v>
      </c>
      <c r="F153" s="163">
        <v>0</v>
      </c>
      <c r="G153" s="163">
        <v>1</v>
      </c>
      <c r="H153" s="163">
        <v>57</v>
      </c>
      <c r="I153" s="163">
        <v>882639</v>
      </c>
      <c r="J153" s="163" t="s">
        <v>303</v>
      </c>
    </row>
    <row r="154" spans="1:10" ht="15" x14ac:dyDescent="0.25">
      <c r="A154" s="38"/>
      <c r="B154" s="162"/>
      <c r="C154" s="163" t="s">
        <v>249</v>
      </c>
      <c r="D154" s="163">
        <v>1</v>
      </c>
      <c r="E154" s="163" t="s">
        <v>411</v>
      </c>
      <c r="F154" s="163">
        <v>0</v>
      </c>
      <c r="G154" s="163">
        <v>0</v>
      </c>
      <c r="H154" s="163">
        <v>3</v>
      </c>
      <c r="I154" s="163">
        <v>14016</v>
      </c>
      <c r="J154" s="163" t="s">
        <v>304</v>
      </c>
    </row>
    <row r="155" spans="1:10" ht="15" x14ac:dyDescent="0.25">
      <c r="A155" s="38"/>
      <c r="B155" s="162"/>
      <c r="C155" s="163" t="s">
        <v>250</v>
      </c>
      <c r="D155" s="163">
        <v>1</v>
      </c>
      <c r="E155" s="163" t="s">
        <v>411</v>
      </c>
      <c r="F155" s="163">
        <v>0</v>
      </c>
      <c r="G155" s="163">
        <v>0</v>
      </c>
      <c r="H155" s="163">
        <v>0</v>
      </c>
      <c r="I155" s="163">
        <v>37465</v>
      </c>
      <c r="J155" s="163" t="s">
        <v>304</v>
      </c>
    </row>
    <row r="156" spans="1:10" ht="15" x14ac:dyDescent="0.25">
      <c r="A156" s="38"/>
      <c r="B156" s="162"/>
      <c r="C156" s="163" t="s">
        <v>251</v>
      </c>
      <c r="D156" s="163">
        <v>21</v>
      </c>
      <c r="E156" s="163" t="s">
        <v>414</v>
      </c>
      <c r="F156" s="163"/>
      <c r="G156" s="163"/>
      <c r="H156" s="163"/>
      <c r="I156" s="163">
        <v>560017</v>
      </c>
      <c r="J156" s="163" t="s">
        <v>303</v>
      </c>
    </row>
    <row r="157" spans="1:10" ht="15" x14ac:dyDescent="0.25">
      <c r="A157" s="38"/>
      <c r="B157" s="162"/>
      <c r="C157" s="163" t="s">
        <v>252</v>
      </c>
      <c r="D157" s="163">
        <v>1</v>
      </c>
      <c r="E157" s="163" t="s">
        <v>411</v>
      </c>
      <c r="F157" s="163">
        <v>0</v>
      </c>
      <c r="G157" s="163">
        <v>0</v>
      </c>
      <c r="H157" s="163">
        <v>3</v>
      </c>
      <c r="I157" s="163">
        <v>233848</v>
      </c>
      <c r="J157" s="163" t="s">
        <v>304</v>
      </c>
    </row>
    <row r="158" spans="1:10" ht="15" x14ac:dyDescent="0.25">
      <c r="A158" s="38"/>
      <c r="B158" s="162"/>
      <c r="C158" s="163" t="s">
        <v>253</v>
      </c>
      <c r="D158" s="163">
        <v>7</v>
      </c>
      <c r="E158" s="163" t="s">
        <v>414</v>
      </c>
      <c r="F158" s="163"/>
      <c r="G158" s="163"/>
      <c r="H158" s="163"/>
      <c r="I158" s="163">
        <v>112514</v>
      </c>
      <c r="J158" s="163" t="s">
        <v>303</v>
      </c>
    </row>
    <row r="159" spans="1:10" ht="15" x14ac:dyDescent="0.25">
      <c r="A159" s="38"/>
      <c r="B159" s="162"/>
      <c r="C159" s="163" t="s">
        <v>254</v>
      </c>
      <c r="D159" s="163">
        <v>1</v>
      </c>
      <c r="E159" s="163" t="s">
        <v>411</v>
      </c>
      <c r="F159" s="163">
        <v>0</v>
      </c>
      <c r="G159" s="163">
        <v>1</v>
      </c>
      <c r="H159" s="163">
        <v>1</v>
      </c>
      <c r="I159" s="163">
        <v>441992</v>
      </c>
      <c r="J159" s="163" t="s">
        <v>303</v>
      </c>
    </row>
    <row r="160" spans="1:10" ht="15" x14ac:dyDescent="0.25">
      <c r="A160" s="38"/>
      <c r="B160" s="162"/>
      <c r="C160" s="163" t="s">
        <v>255</v>
      </c>
      <c r="D160" s="163">
        <v>1</v>
      </c>
      <c r="E160" s="163" t="s">
        <v>411</v>
      </c>
      <c r="F160" s="163">
        <v>0</v>
      </c>
      <c r="G160" s="163">
        <v>0</v>
      </c>
      <c r="H160" s="163">
        <v>2</v>
      </c>
      <c r="I160" s="163">
        <v>28763</v>
      </c>
      <c r="J160" s="163" t="s">
        <v>304</v>
      </c>
    </row>
    <row r="161" spans="1:11" ht="15" x14ac:dyDescent="0.25">
      <c r="A161" s="38"/>
      <c r="B161" s="162"/>
      <c r="C161" s="163" t="s">
        <v>256</v>
      </c>
      <c r="D161" s="163">
        <v>5</v>
      </c>
      <c r="E161" s="163" t="s">
        <v>414</v>
      </c>
      <c r="F161" s="163"/>
      <c r="G161" s="163"/>
      <c r="H161" s="163"/>
      <c r="I161" s="163">
        <v>222149</v>
      </c>
      <c r="J161" s="163" t="s">
        <v>303</v>
      </c>
    </row>
    <row r="162" spans="1:11" ht="15.75" thickBot="1" x14ac:dyDescent="0.3">
      <c r="A162" s="38"/>
      <c r="B162" s="162"/>
      <c r="C162" s="180" t="s">
        <v>257</v>
      </c>
      <c r="D162" s="180">
        <v>4</v>
      </c>
      <c r="E162" s="180" t="s">
        <v>414</v>
      </c>
      <c r="F162" s="180"/>
      <c r="G162" s="180"/>
      <c r="H162" s="180"/>
      <c r="I162" s="163">
        <v>485049</v>
      </c>
      <c r="J162" s="163" t="s">
        <v>303</v>
      </c>
    </row>
    <row r="163" spans="1:11" ht="15.75" thickBot="1" x14ac:dyDescent="0.3">
      <c r="A163" s="38"/>
      <c r="B163" s="178"/>
      <c r="C163" s="183" t="s">
        <v>368</v>
      </c>
      <c r="D163" s="184"/>
      <c r="E163" s="184"/>
      <c r="F163" s="185">
        <f>SUM(F144:F162)</f>
        <v>316</v>
      </c>
      <c r="G163" s="185">
        <f t="shared" ref="G163:H163" si="11">SUM(G144:G162)</f>
        <v>9</v>
      </c>
      <c r="H163" s="185">
        <f t="shared" si="11"/>
        <v>185</v>
      </c>
      <c r="I163" s="179"/>
      <c r="J163" s="163"/>
    </row>
    <row r="164" spans="1:11" ht="15" x14ac:dyDescent="0.25">
      <c r="A164" s="38"/>
      <c r="B164" s="123" t="s">
        <v>97</v>
      </c>
      <c r="C164" s="181" t="s">
        <v>258</v>
      </c>
      <c r="D164" s="181">
        <v>16</v>
      </c>
      <c r="E164" s="181" t="s">
        <v>414</v>
      </c>
      <c r="F164" s="181"/>
      <c r="G164" s="181"/>
      <c r="H164" s="181"/>
      <c r="I164" s="124">
        <v>267288</v>
      </c>
      <c r="J164" s="124" t="s">
        <v>303</v>
      </c>
    </row>
    <row r="165" spans="1:11" ht="15" x14ac:dyDescent="0.25">
      <c r="A165" s="38"/>
      <c r="B165" s="123">
        <v>3</v>
      </c>
      <c r="C165" s="124" t="s">
        <v>259</v>
      </c>
      <c r="D165" s="124">
        <v>14</v>
      </c>
      <c r="E165" s="124" t="s">
        <v>414</v>
      </c>
      <c r="F165" s="124"/>
      <c r="G165" s="124"/>
      <c r="H165" s="124"/>
      <c r="I165" s="124">
        <v>497677</v>
      </c>
      <c r="J165" s="124" t="s">
        <v>303</v>
      </c>
    </row>
    <row r="166" spans="1:11" ht="15.75" thickBot="1" x14ac:dyDescent="0.3">
      <c r="A166" s="38"/>
      <c r="B166" s="123"/>
      <c r="C166" s="168" t="s">
        <v>260</v>
      </c>
      <c r="D166" s="168">
        <v>1</v>
      </c>
      <c r="E166" s="168" t="s">
        <v>411</v>
      </c>
      <c r="F166" s="168">
        <v>0</v>
      </c>
      <c r="G166" s="168">
        <v>0</v>
      </c>
      <c r="H166" s="168">
        <v>10</v>
      </c>
      <c r="I166" s="124">
        <v>101269</v>
      </c>
      <c r="J166" s="163" t="s">
        <v>304</v>
      </c>
    </row>
    <row r="167" spans="1:11" ht="15.75" thickBot="1" x14ac:dyDescent="0.3">
      <c r="A167" s="38"/>
      <c r="B167" s="173"/>
      <c r="C167" s="175" t="s">
        <v>368</v>
      </c>
      <c r="D167" s="176"/>
      <c r="E167" s="176"/>
      <c r="F167" s="177">
        <f>SUM(F164:F166)</f>
        <v>0</v>
      </c>
      <c r="G167" s="177">
        <f t="shared" ref="G167:H167" si="12">SUM(G164:G166)</f>
        <v>0</v>
      </c>
      <c r="H167" s="177">
        <f t="shared" si="12"/>
        <v>10</v>
      </c>
      <c r="I167" s="167"/>
      <c r="J167" s="163"/>
    </row>
    <row r="168" spans="1:11" ht="15" x14ac:dyDescent="0.25">
      <c r="A168" s="38"/>
      <c r="B168" s="123" t="s">
        <v>94</v>
      </c>
      <c r="C168" s="181" t="s">
        <v>261</v>
      </c>
      <c r="D168" s="181">
        <v>1</v>
      </c>
      <c r="E168" s="181" t="s">
        <v>411</v>
      </c>
      <c r="F168" s="181">
        <v>0</v>
      </c>
      <c r="G168" s="181">
        <v>0</v>
      </c>
      <c r="H168" s="181">
        <v>1</v>
      </c>
      <c r="I168" s="124">
        <v>670708</v>
      </c>
      <c r="J168" s="124" t="s">
        <v>303</v>
      </c>
    </row>
    <row r="169" spans="1:11" ht="15" x14ac:dyDescent="0.25">
      <c r="A169" s="38"/>
      <c r="B169" s="123">
        <v>4</v>
      </c>
      <c r="C169" s="124" t="s">
        <v>262</v>
      </c>
      <c r="D169" s="124">
        <v>23</v>
      </c>
      <c r="E169" s="124" t="s">
        <v>414</v>
      </c>
      <c r="F169" s="124"/>
      <c r="G169" s="124"/>
      <c r="H169" s="124"/>
      <c r="I169" s="124">
        <v>934679</v>
      </c>
      <c r="J169" s="124" t="s">
        <v>303</v>
      </c>
    </row>
    <row r="170" spans="1:11" ht="15" x14ac:dyDescent="0.25">
      <c r="A170" s="38"/>
      <c r="B170" s="123"/>
      <c r="C170" s="124" t="s">
        <v>263</v>
      </c>
      <c r="D170" s="124">
        <v>6</v>
      </c>
      <c r="E170" s="124" t="s">
        <v>411</v>
      </c>
      <c r="F170" s="124">
        <v>0</v>
      </c>
      <c r="G170" s="124">
        <v>0</v>
      </c>
      <c r="H170" s="124">
        <v>47</v>
      </c>
      <c r="I170" s="124">
        <v>130644</v>
      </c>
      <c r="J170" s="124" t="s">
        <v>303</v>
      </c>
      <c r="K170" s="1"/>
    </row>
    <row r="171" spans="1:11" ht="15.75" thickBot="1" x14ac:dyDescent="0.3">
      <c r="A171" s="38"/>
      <c r="B171" s="123"/>
      <c r="C171" s="168" t="s">
        <v>264</v>
      </c>
      <c r="D171" s="168">
        <v>2</v>
      </c>
      <c r="E171" s="168" t="s">
        <v>411</v>
      </c>
      <c r="F171" s="168">
        <v>0</v>
      </c>
      <c r="G171" s="168">
        <v>0</v>
      </c>
      <c r="H171" s="168">
        <v>2</v>
      </c>
      <c r="I171" s="124">
        <v>48463</v>
      </c>
      <c r="J171" s="124" t="s">
        <v>304</v>
      </c>
    </row>
    <row r="172" spans="1:11" ht="15.75" thickBot="1" x14ac:dyDescent="0.3">
      <c r="A172" s="38"/>
      <c r="B172" s="173"/>
      <c r="C172" s="175" t="s">
        <v>368</v>
      </c>
      <c r="D172" s="176"/>
      <c r="E172" s="176"/>
      <c r="F172" s="177">
        <f>SUM(F168:F171)</f>
        <v>0</v>
      </c>
      <c r="G172" s="177">
        <f t="shared" ref="G172:H172" si="13">SUM(G168:G171)</f>
        <v>0</v>
      </c>
      <c r="H172" s="177">
        <f t="shared" si="13"/>
        <v>50</v>
      </c>
      <c r="I172" s="167"/>
      <c r="J172" s="124"/>
    </row>
    <row r="173" spans="1:11" ht="15" x14ac:dyDescent="0.25">
      <c r="A173" s="38"/>
      <c r="B173" s="162" t="s">
        <v>87</v>
      </c>
      <c r="C173" s="169" t="s">
        <v>265</v>
      </c>
      <c r="D173" s="169">
        <v>3</v>
      </c>
      <c r="E173" s="169" t="s">
        <v>411</v>
      </c>
      <c r="F173" s="169">
        <v>0</v>
      </c>
      <c r="G173" s="169">
        <v>3</v>
      </c>
      <c r="H173" s="169">
        <v>29</v>
      </c>
      <c r="I173" s="163">
        <v>233811</v>
      </c>
      <c r="J173" s="163" t="s">
        <v>304</v>
      </c>
    </row>
    <row r="174" spans="1:11" ht="15" x14ac:dyDescent="0.25">
      <c r="A174" s="38"/>
      <c r="B174" s="162">
        <v>4</v>
      </c>
      <c r="C174" s="163" t="s">
        <v>266</v>
      </c>
      <c r="D174" s="163">
        <v>3</v>
      </c>
      <c r="E174" s="163" t="s">
        <v>411</v>
      </c>
      <c r="F174" s="163">
        <v>0</v>
      </c>
      <c r="G174" s="163">
        <v>3</v>
      </c>
      <c r="H174" s="163">
        <v>29</v>
      </c>
      <c r="I174" s="163">
        <v>565690</v>
      </c>
      <c r="J174" s="163" t="s">
        <v>303</v>
      </c>
    </row>
    <row r="175" spans="1:11" ht="15" x14ac:dyDescent="0.25">
      <c r="A175" s="38"/>
      <c r="B175" s="162"/>
      <c r="C175" s="163" t="s">
        <v>267</v>
      </c>
      <c r="D175" s="163">
        <v>2</v>
      </c>
      <c r="E175" s="163" t="s">
        <v>411</v>
      </c>
      <c r="F175" s="163">
        <v>0</v>
      </c>
      <c r="G175" s="163">
        <v>2</v>
      </c>
      <c r="H175" s="163">
        <v>13</v>
      </c>
      <c r="I175" s="163">
        <v>334611</v>
      </c>
      <c r="J175" s="163" t="s">
        <v>304</v>
      </c>
    </row>
    <row r="176" spans="1:11" ht="15.75" thickBot="1" x14ac:dyDescent="0.3">
      <c r="A176" s="38"/>
      <c r="B176" s="162"/>
      <c r="C176" s="180" t="s">
        <v>268</v>
      </c>
      <c r="D176" s="180">
        <v>1</v>
      </c>
      <c r="E176" s="180" t="s">
        <v>411</v>
      </c>
      <c r="F176" s="180">
        <v>0</v>
      </c>
      <c r="G176" s="180">
        <v>0</v>
      </c>
      <c r="H176" s="180">
        <v>0</v>
      </c>
      <c r="I176" s="163">
        <v>31277</v>
      </c>
      <c r="J176" s="163" t="s">
        <v>304</v>
      </c>
    </row>
    <row r="177" spans="1:10" ht="15.75" thickBot="1" x14ac:dyDescent="0.3">
      <c r="A177" s="38"/>
      <c r="B177" s="178"/>
      <c r="C177" s="183" t="s">
        <v>368</v>
      </c>
      <c r="D177" s="184"/>
      <c r="E177" s="184"/>
      <c r="F177" s="185">
        <f>SUM(F173:F176)</f>
        <v>0</v>
      </c>
      <c r="G177" s="185">
        <f t="shared" ref="G177:H177" si="14">SUM(G173:G176)</f>
        <v>8</v>
      </c>
      <c r="H177" s="185">
        <f t="shared" si="14"/>
        <v>71</v>
      </c>
      <c r="I177" s="179"/>
      <c r="J177" s="163"/>
    </row>
    <row r="178" spans="1:10" ht="15" x14ac:dyDescent="0.25">
      <c r="A178" s="38"/>
      <c r="B178" s="123" t="s">
        <v>99</v>
      </c>
      <c r="C178" s="181" t="s">
        <v>269</v>
      </c>
      <c r="D178" s="181">
        <v>5</v>
      </c>
      <c r="E178" s="181" t="s">
        <v>414</v>
      </c>
      <c r="F178" s="181"/>
      <c r="G178" s="181"/>
      <c r="H178" s="181"/>
      <c r="I178" s="124">
        <v>162372</v>
      </c>
      <c r="J178" s="124" t="s">
        <v>303</v>
      </c>
    </row>
    <row r="179" spans="1:10" ht="15" x14ac:dyDescent="0.25">
      <c r="A179" s="38"/>
      <c r="B179" s="123">
        <v>12</v>
      </c>
      <c r="C179" s="124" t="s">
        <v>270</v>
      </c>
      <c r="D179" s="124">
        <v>5</v>
      </c>
      <c r="E179" s="124" t="s">
        <v>414</v>
      </c>
      <c r="F179" s="124"/>
      <c r="G179" s="124"/>
      <c r="H179" s="124"/>
      <c r="I179" s="124">
        <v>64403</v>
      </c>
      <c r="J179" s="124" t="s">
        <v>303</v>
      </c>
    </row>
    <row r="180" spans="1:10" ht="15" x14ac:dyDescent="0.25">
      <c r="A180" s="38"/>
      <c r="B180" s="123"/>
      <c r="C180" s="124" t="s">
        <v>271</v>
      </c>
      <c r="D180" s="124">
        <v>2</v>
      </c>
      <c r="E180" s="124" t="s">
        <v>414</v>
      </c>
      <c r="F180" s="124"/>
      <c r="G180" s="124"/>
      <c r="H180" s="124"/>
      <c r="I180" s="124">
        <v>89425</v>
      </c>
      <c r="J180" s="124" t="s">
        <v>304</v>
      </c>
    </row>
    <row r="181" spans="1:10" ht="15" x14ac:dyDescent="0.25">
      <c r="A181" s="38"/>
      <c r="B181" s="123"/>
      <c r="C181" s="124" t="s">
        <v>272</v>
      </c>
      <c r="D181" s="124">
        <v>2</v>
      </c>
      <c r="E181" s="124" t="s">
        <v>411</v>
      </c>
      <c r="F181" s="124">
        <v>0</v>
      </c>
      <c r="G181" s="124">
        <v>2</v>
      </c>
      <c r="H181" s="124">
        <v>16</v>
      </c>
      <c r="I181" s="124">
        <v>32718</v>
      </c>
      <c r="J181" s="124" t="s">
        <v>304</v>
      </c>
    </row>
    <row r="182" spans="1:10" ht="15" x14ac:dyDescent="0.25">
      <c r="A182" s="38"/>
      <c r="B182" s="123"/>
      <c r="C182" s="124" t="s">
        <v>273</v>
      </c>
      <c r="D182" s="124">
        <v>7</v>
      </c>
      <c r="E182" s="124" t="s">
        <v>414</v>
      </c>
      <c r="F182" s="124"/>
      <c r="G182" s="124"/>
      <c r="H182" s="124"/>
      <c r="I182" s="124">
        <v>146109</v>
      </c>
      <c r="J182" s="124" t="s">
        <v>303</v>
      </c>
    </row>
    <row r="183" spans="1:10" ht="15" x14ac:dyDescent="0.25">
      <c r="A183" s="38"/>
      <c r="B183" s="123"/>
      <c r="C183" s="124" t="s">
        <v>274</v>
      </c>
      <c r="D183" s="124">
        <v>3</v>
      </c>
      <c r="E183" s="124" t="s">
        <v>411</v>
      </c>
      <c r="F183" s="124">
        <v>0</v>
      </c>
      <c r="G183" s="124">
        <v>0</v>
      </c>
      <c r="H183" s="124">
        <v>13</v>
      </c>
      <c r="I183" s="124">
        <v>18713</v>
      </c>
      <c r="J183" s="124" t="s">
        <v>304</v>
      </c>
    </row>
    <row r="184" spans="1:10" ht="15" x14ac:dyDescent="0.25">
      <c r="A184" s="38"/>
      <c r="B184" s="123"/>
      <c r="C184" s="124" t="s">
        <v>275</v>
      </c>
      <c r="D184" s="124">
        <v>1</v>
      </c>
      <c r="E184" s="124" t="s">
        <v>414</v>
      </c>
      <c r="F184" s="124"/>
      <c r="G184" s="124"/>
      <c r="H184" s="124"/>
      <c r="I184" s="124">
        <v>32567</v>
      </c>
      <c r="J184" s="124" t="s">
        <v>304</v>
      </c>
    </row>
    <row r="185" spans="1:10" ht="15" x14ac:dyDescent="0.25">
      <c r="A185" s="38"/>
      <c r="B185" s="123"/>
      <c r="C185" s="124" t="s">
        <v>276</v>
      </c>
      <c r="D185" s="124">
        <v>16</v>
      </c>
      <c r="E185" s="124" t="s">
        <v>414</v>
      </c>
      <c r="F185" s="124"/>
      <c r="G185" s="124"/>
      <c r="H185" s="124"/>
      <c r="I185" s="124">
        <v>226347</v>
      </c>
      <c r="J185" s="124" t="s">
        <v>303</v>
      </c>
    </row>
    <row r="186" spans="1:10" ht="15" x14ac:dyDescent="0.25">
      <c r="A186" s="38"/>
      <c r="B186" s="123"/>
      <c r="C186" s="124" t="s">
        <v>277</v>
      </c>
      <c r="D186" s="124">
        <v>1</v>
      </c>
      <c r="E186" s="124" t="s">
        <v>411</v>
      </c>
      <c r="F186" s="124">
        <v>0</v>
      </c>
      <c r="G186" s="124">
        <v>2</v>
      </c>
      <c r="H186" s="124">
        <v>7</v>
      </c>
      <c r="I186" s="124">
        <v>7616</v>
      </c>
      <c r="J186" s="124" t="s">
        <v>304</v>
      </c>
    </row>
    <row r="187" spans="1:10" ht="15" x14ac:dyDescent="0.25">
      <c r="A187" s="38"/>
      <c r="B187" s="123"/>
      <c r="C187" s="124" t="s">
        <v>278</v>
      </c>
      <c r="D187" s="124">
        <v>1</v>
      </c>
      <c r="E187" s="124" t="s">
        <v>414</v>
      </c>
      <c r="F187" s="124"/>
      <c r="G187" s="124"/>
      <c r="H187" s="124"/>
      <c r="I187" s="124">
        <v>25177</v>
      </c>
      <c r="J187" s="124" t="s">
        <v>304</v>
      </c>
    </row>
    <row r="188" spans="1:10" ht="15" x14ac:dyDescent="0.25">
      <c r="A188" s="38"/>
      <c r="B188" s="123"/>
      <c r="C188" s="124" t="s">
        <v>279</v>
      </c>
      <c r="D188" s="124">
        <v>1</v>
      </c>
      <c r="E188" s="124" t="s">
        <v>414</v>
      </c>
      <c r="F188" s="124"/>
      <c r="G188" s="124"/>
      <c r="H188" s="124"/>
      <c r="I188" s="124">
        <v>12899</v>
      </c>
      <c r="J188" s="124" t="s">
        <v>304</v>
      </c>
    </row>
    <row r="189" spans="1:10" ht="15.75" thickBot="1" x14ac:dyDescent="0.3">
      <c r="A189" s="38"/>
      <c r="B189" s="123"/>
      <c r="C189" s="168" t="s">
        <v>280</v>
      </c>
      <c r="D189" s="168">
        <v>1</v>
      </c>
      <c r="E189" s="168" t="s">
        <v>414</v>
      </c>
      <c r="F189" s="168"/>
      <c r="G189" s="168"/>
      <c r="H189" s="168"/>
      <c r="I189" s="124">
        <v>14768</v>
      </c>
      <c r="J189" s="124" t="s">
        <v>304</v>
      </c>
    </row>
    <row r="190" spans="1:10" ht="15.75" thickBot="1" x14ac:dyDescent="0.3">
      <c r="A190" s="38"/>
      <c r="B190" s="173"/>
      <c r="C190" s="175" t="s">
        <v>368</v>
      </c>
      <c r="D190" s="176"/>
      <c r="E190" s="176"/>
      <c r="F190" s="177">
        <f>SUM(F178:F189)</f>
        <v>0</v>
      </c>
      <c r="G190" s="177">
        <f t="shared" ref="G190:H190" si="15">SUM(G178:G189)</f>
        <v>4</v>
      </c>
      <c r="H190" s="177">
        <f t="shared" si="15"/>
        <v>36</v>
      </c>
      <c r="I190" s="167"/>
      <c r="J190" s="124"/>
    </row>
    <row r="191" spans="1:10" ht="15" x14ac:dyDescent="0.25">
      <c r="A191" s="38"/>
      <c r="B191" s="162" t="s">
        <v>96</v>
      </c>
      <c r="C191" s="169" t="s">
        <v>281</v>
      </c>
      <c r="D191" s="169">
        <v>28</v>
      </c>
      <c r="E191" s="169" t="s">
        <v>414</v>
      </c>
      <c r="F191" s="169"/>
      <c r="G191" s="169"/>
      <c r="H191" s="169"/>
      <c r="I191" s="163">
        <v>1163057</v>
      </c>
      <c r="J191" s="163" t="s">
        <v>303</v>
      </c>
    </row>
    <row r="192" spans="1:10" ht="15" x14ac:dyDescent="0.25">
      <c r="A192" s="38"/>
      <c r="B192" s="162">
        <v>5</v>
      </c>
      <c r="C192" s="163" t="s">
        <v>282</v>
      </c>
      <c r="D192" s="163">
        <v>4</v>
      </c>
      <c r="E192" s="163" t="s">
        <v>411</v>
      </c>
      <c r="F192" s="163">
        <v>0</v>
      </c>
      <c r="G192" s="163">
        <v>1</v>
      </c>
      <c r="H192" s="163">
        <v>9</v>
      </c>
      <c r="I192" s="163">
        <v>109072</v>
      </c>
      <c r="J192" s="163" t="s">
        <v>304</v>
      </c>
    </row>
    <row r="193" spans="1:10" ht="15" x14ac:dyDescent="0.25">
      <c r="A193" s="38"/>
      <c r="B193" s="162"/>
      <c r="C193" s="163" t="s">
        <v>276</v>
      </c>
      <c r="D193" s="163">
        <v>32</v>
      </c>
      <c r="E193" s="163" t="s">
        <v>414</v>
      </c>
      <c r="F193" s="163"/>
      <c r="G193" s="163"/>
      <c r="H193" s="163"/>
      <c r="I193" s="163">
        <v>2459035</v>
      </c>
      <c r="J193" s="163" t="s">
        <v>303</v>
      </c>
    </row>
    <row r="194" spans="1:10" ht="15" x14ac:dyDescent="0.25">
      <c r="A194" s="38"/>
      <c r="B194" s="162"/>
      <c r="C194" s="163" t="s">
        <v>283</v>
      </c>
      <c r="D194" s="163">
        <v>37</v>
      </c>
      <c r="E194" s="163" t="s">
        <v>414</v>
      </c>
      <c r="F194" s="163"/>
      <c r="G194" s="163"/>
      <c r="H194" s="163"/>
      <c r="I194" s="163">
        <v>1130255</v>
      </c>
      <c r="J194" s="163" t="s">
        <v>303</v>
      </c>
    </row>
    <row r="195" spans="1:10" ht="15.75" thickBot="1" x14ac:dyDescent="0.3">
      <c r="A195" s="38"/>
      <c r="B195" s="162"/>
      <c r="C195" s="180" t="s">
        <v>284</v>
      </c>
      <c r="D195" s="180">
        <v>19</v>
      </c>
      <c r="E195" s="180" t="s">
        <v>414</v>
      </c>
      <c r="F195" s="180"/>
      <c r="G195" s="180"/>
      <c r="H195" s="180"/>
      <c r="I195" s="163">
        <v>2374042</v>
      </c>
      <c r="J195" s="163" t="s">
        <v>303</v>
      </c>
    </row>
    <row r="196" spans="1:10" ht="15.75" thickBot="1" x14ac:dyDescent="0.3">
      <c r="A196" s="170"/>
      <c r="B196" s="171"/>
      <c r="C196" s="183" t="s">
        <v>368</v>
      </c>
      <c r="D196" s="184"/>
      <c r="E196" s="184"/>
      <c r="F196" s="185">
        <f>SUM(F191:F195)</f>
        <v>0</v>
      </c>
      <c r="G196" s="185">
        <f t="shared" ref="G196:H196" si="16">SUM(G191:G195)</f>
        <v>1</v>
      </c>
      <c r="H196" s="185">
        <f t="shared" si="16"/>
        <v>9</v>
      </c>
      <c r="I196" s="179"/>
      <c r="J196" s="163"/>
    </row>
    <row r="197" spans="1:10" ht="15" x14ac:dyDescent="0.2">
      <c r="C197" s="165" t="s">
        <v>307</v>
      </c>
      <c r="D197" s="182">
        <v>177</v>
      </c>
      <c r="E197" s="182"/>
      <c r="F197" s="182"/>
      <c r="G197" s="182"/>
      <c r="H197" s="182"/>
      <c r="I197" s="166"/>
      <c r="J197" s="166" t="s">
        <v>310</v>
      </c>
    </row>
    <row r="198" spans="1:10" ht="15" x14ac:dyDescent="0.2">
      <c r="C198" s="166" t="s">
        <v>306</v>
      </c>
      <c r="D198" s="166">
        <f>SUM(D2:D195)</f>
        <v>907</v>
      </c>
      <c r="E198" s="166"/>
      <c r="F198" s="166"/>
      <c r="G198" s="166"/>
      <c r="H198" s="166"/>
      <c r="I198" s="166"/>
      <c r="J198" s="166" t="s">
        <v>312</v>
      </c>
    </row>
    <row r="199" spans="1:10" ht="15" x14ac:dyDescent="0.2">
      <c r="C199" s="166" t="s">
        <v>308</v>
      </c>
      <c r="D199" s="166">
        <f>AVERAGE(D2:D195)</f>
        <v>5.1242937853107344</v>
      </c>
      <c r="E199" s="166"/>
      <c r="F199" s="166"/>
      <c r="G199" s="166"/>
      <c r="H199" s="166"/>
      <c r="I199" s="166"/>
      <c r="J199" s="166"/>
    </row>
    <row r="200" spans="1:10" ht="15" x14ac:dyDescent="0.2">
      <c r="C200" s="166" t="s">
        <v>309</v>
      </c>
      <c r="D200" s="166"/>
      <c r="E200" s="166"/>
      <c r="F200" s="166"/>
      <c r="G200" s="166"/>
      <c r="H200" s="166"/>
      <c r="I200" s="166">
        <f>AVERAGE(I2:I195)</f>
        <v>435172.33898305084</v>
      </c>
      <c r="J200" s="166"/>
    </row>
    <row r="201" spans="1:10" ht="15" x14ac:dyDescent="0.2">
      <c r="C201" s="165" t="s">
        <v>420</v>
      </c>
      <c r="D201" s="166"/>
      <c r="E201" s="166"/>
      <c r="F201" s="166">
        <f>F196+F190+F177+F172+F167+F163+F143+F102+F69+F66+F62+F57+F54+F46+F44+F35+F29+F19</f>
        <v>541</v>
      </c>
      <c r="G201" s="166">
        <f>G196+G190+G177+G172+G167+G163+G143+G102+G69+G66+G62+G57+G54+G46+G44+G35+G29+G19</f>
        <v>87</v>
      </c>
      <c r="H201" s="166">
        <f t="shared" ref="H201" si="17">H196+H190+H177+H172+H167+H163+H143+H102+H69+H66+H62+H57+H54+H46+H44+H35+H29+H19</f>
        <v>970</v>
      </c>
      <c r="I201" s="166"/>
      <c r="J201" s="166"/>
    </row>
    <row r="202" spans="1:10" x14ac:dyDescent="0.2">
      <c r="D202" s="92"/>
      <c r="E202" s="92"/>
      <c r="F202" s="92"/>
      <c r="G202" s="92"/>
      <c r="H202" s="92"/>
      <c r="I202" s="55"/>
    </row>
    <row r="203" spans="1:10" x14ac:dyDescent="0.2">
      <c r="I203" s="55"/>
    </row>
    <row r="205" spans="1:10" x14ac:dyDescent="0.2">
      <c r="I205" s="1"/>
    </row>
    <row r="206" spans="1:10" x14ac:dyDescent="0.2">
      <c r="I206" s="93"/>
    </row>
  </sheetData>
  <autoFilter ref="B1:J201" xr:uid="{CD82BA28-573C-4FBE-BA27-7C512122E698}"/>
  <pageMargins left="0.7" right="0.7" top="0.75" bottom="0.75" header="0.3" footer="0.3"/>
  <pageSetup orientation="portrait" r:id="rId1"/>
  <ignoredErrors>
    <ignoredError sqref="D198:D199" formulaRange="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15C6-0493-4765-B506-29073FD1F2CD}">
  <dimension ref="A1:P23"/>
  <sheetViews>
    <sheetView tabSelected="1" topLeftCell="A2" zoomScale="80" zoomScaleNormal="80" workbookViewId="0">
      <pane ySplit="1" topLeftCell="A3" activePane="bottomLeft" state="frozen"/>
      <selection activeCell="B2" sqref="B2"/>
      <selection pane="bottomLeft" activeCell="A3" sqref="A3"/>
    </sheetView>
  </sheetViews>
  <sheetFormatPr defaultRowHeight="15" x14ac:dyDescent="0.25"/>
  <cols>
    <col min="1" max="1" width="10.140625" customWidth="1"/>
    <col min="2" max="2" width="29.7109375" customWidth="1"/>
    <col min="3" max="3" width="19.28515625" customWidth="1"/>
    <col min="4" max="4" width="21" customWidth="1"/>
    <col min="5" max="5" width="19.7109375" customWidth="1"/>
    <col min="6" max="6" width="17" customWidth="1"/>
    <col min="7" max="7" width="19.85546875" customWidth="1"/>
    <col min="8" max="8" width="17.28515625" customWidth="1"/>
    <col min="9" max="9" width="19.140625" bestFit="1" customWidth="1"/>
    <col min="10" max="10" width="19.140625" style="144" customWidth="1"/>
    <col min="11" max="11" width="19.140625" style="144" hidden="1" customWidth="1"/>
    <col min="12" max="12" width="15.85546875" style="2" hidden="1" customWidth="1"/>
    <col min="13" max="13" width="0" hidden="1" customWidth="1"/>
    <col min="14" max="14" width="10.5703125" hidden="1" customWidth="1"/>
    <col min="15" max="15" width="11.5703125" style="145" hidden="1" customWidth="1"/>
    <col min="16" max="16" width="11.7109375" hidden="1" customWidth="1"/>
  </cols>
  <sheetData>
    <row r="1" spans="1:16" s="115" customFormat="1" hidden="1" x14ac:dyDescent="0.25">
      <c r="A1" s="112" t="s">
        <v>333</v>
      </c>
      <c r="B1" s="113"/>
      <c r="C1" s="114"/>
      <c r="E1"/>
      <c r="F1"/>
      <c r="G1" s="116"/>
      <c r="H1" s="117"/>
      <c r="I1" s="117"/>
      <c r="J1" s="118"/>
      <c r="K1" s="118"/>
      <c r="L1" s="119"/>
      <c r="O1"/>
      <c r="P1"/>
    </row>
    <row r="2" spans="1:16" s="115" customFormat="1" ht="45" x14ac:dyDescent="0.25">
      <c r="A2" s="35"/>
      <c r="B2" s="36" t="s">
        <v>77</v>
      </c>
      <c r="C2" s="37" t="s">
        <v>334</v>
      </c>
      <c r="D2" s="120" t="s">
        <v>332</v>
      </c>
      <c r="E2" s="120" t="s">
        <v>335</v>
      </c>
      <c r="F2" s="120" t="s">
        <v>440</v>
      </c>
      <c r="G2" s="36" t="s">
        <v>336</v>
      </c>
      <c r="H2" s="120" t="s">
        <v>337</v>
      </c>
      <c r="I2" s="120" t="s">
        <v>331</v>
      </c>
      <c r="J2" s="121" t="s">
        <v>338</v>
      </c>
      <c r="K2" s="121" t="s">
        <v>437</v>
      </c>
      <c r="L2" s="122" t="s">
        <v>339</v>
      </c>
      <c r="M2" s="120" t="s">
        <v>340</v>
      </c>
      <c r="N2" s="120" t="s">
        <v>341</v>
      </c>
      <c r="O2" s="120" t="s">
        <v>342</v>
      </c>
      <c r="P2" s="120" t="s">
        <v>343</v>
      </c>
    </row>
    <row r="3" spans="1:16" x14ac:dyDescent="0.25">
      <c r="A3" s="35" t="s">
        <v>344</v>
      </c>
      <c r="B3" s="41" t="s">
        <v>80</v>
      </c>
      <c r="C3" s="42">
        <v>220</v>
      </c>
      <c r="D3" s="42">
        <v>22129</v>
      </c>
      <c r="E3" s="42">
        <v>4837</v>
      </c>
      <c r="F3" s="136">
        <v>756</v>
      </c>
      <c r="G3" s="133">
        <v>178.19</v>
      </c>
      <c r="H3" s="133">
        <v>219.9</v>
      </c>
      <c r="I3" s="133">
        <f t="shared" ref="I3:I11" si="0">H3+G3</f>
        <v>398.09000000000003</v>
      </c>
      <c r="J3" s="134" t="s">
        <v>425</v>
      </c>
      <c r="K3" s="190">
        <v>6</v>
      </c>
      <c r="L3" s="135">
        <v>700</v>
      </c>
      <c r="M3" s="133">
        <v>5</v>
      </c>
      <c r="N3" s="133">
        <f t="shared" ref="N3:N11" si="1">M3*L3</f>
        <v>3500</v>
      </c>
      <c r="O3" s="133">
        <v>1</v>
      </c>
      <c r="P3" s="133">
        <v>1</v>
      </c>
    </row>
    <row r="4" spans="1:16" x14ac:dyDescent="0.25">
      <c r="A4" s="35" t="s">
        <v>83</v>
      </c>
      <c r="B4" s="41" t="s">
        <v>81</v>
      </c>
      <c r="C4" s="42">
        <v>34</v>
      </c>
      <c r="D4" s="132">
        <v>1160</v>
      </c>
      <c r="E4" s="132">
        <v>235</v>
      </c>
      <c r="F4" s="132">
        <v>78</v>
      </c>
      <c r="G4" s="133">
        <v>15.54</v>
      </c>
      <c r="H4" s="133">
        <v>3.49</v>
      </c>
      <c r="I4" s="133">
        <f t="shared" si="0"/>
        <v>19.03</v>
      </c>
      <c r="J4" s="190" t="s">
        <v>346</v>
      </c>
      <c r="K4" s="190">
        <v>2</v>
      </c>
      <c r="L4" s="135">
        <v>700</v>
      </c>
      <c r="M4" s="133">
        <v>5</v>
      </c>
      <c r="N4" s="133">
        <f t="shared" si="1"/>
        <v>3500</v>
      </c>
      <c r="O4" s="133">
        <v>1</v>
      </c>
      <c r="P4" s="133">
        <v>1</v>
      </c>
    </row>
    <row r="5" spans="1:16" s="115" customFormat="1" x14ac:dyDescent="0.25">
      <c r="A5" s="38"/>
      <c r="B5" s="41" t="s">
        <v>82</v>
      </c>
      <c r="C5" s="42">
        <v>107</v>
      </c>
      <c r="D5" s="132">
        <v>9318</v>
      </c>
      <c r="E5" s="132">
        <v>1129</v>
      </c>
      <c r="F5" s="132">
        <v>304</v>
      </c>
      <c r="G5" s="133">
        <v>66.89</v>
      </c>
      <c r="H5" s="133">
        <v>62.01</v>
      </c>
      <c r="I5" s="133">
        <f t="shared" si="0"/>
        <v>128.9</v>
      </c>
      <c r="J5" s="190" t="s">
        <v>348</v>
      </c>
      <c r="K5" s="190">
        <v>4</v>
      </c>
      <c r="L5" s="135">
        <f>(700*2)</f>
        <v>1400</v>
      </c>
      <c r="M5" s="133">
        <v>5</v>
      </c>
      <c r="N5" s="133">
        <f t="shared" si="1"/>
        <v>7000</v>
      </c>
      <c r="O5" s="133">
        <v>1</v>
      </c>
      <c r="P5" s="133">
        <v>1</v>
      </c>
    </row>
    <row r="6" spans="1:16" x14ac:dyDescent="0.25">
      <c r="A6" s="38"/>
      <c r="B6" s="39" t="s">
        <v>345</v>
      </c>
      <c r="C6" s="40">
        <v>16</v>
      </c>
      <c r="D6" s="126">
        <v>25691</v>
      </c>
      <c r="E6" s="126">
        <v>454</v>
      </c>
      <c r="F6" s="126">
        <v>146</v>
      </c>
      <c r="G6" s="35">
        <v>51.5</v>
      </c>
      <c r="H6" s="35">
        <v>20.7</v>
      </c>
      <c r="I6" s="35">
        <f t="shared" si="0"/>
        <v>72.2</v>
      </c>
      <c r="J6" s="191" t="s">
        <v>350</v>
      </c>
      <c r="K6" s="191">
        <v>2</v>
      </c>
      <c r="L6" s="137">
        <v>700</v>
      </c>
      <c r="M6" s="35">
        <v>5</v>
      </c>
      <c r="N6" s="35">
        <f t="shared" si="1"/>
        <v>3500</v>
      </c>
      <c r="O6" s="35">
        <v>1</v>
      </c>
      <c r="P6" s="35">
        <v>1</v>
      </c>
    </row>
    <row r="7" spans="1:16" x14ac:dyDescent="0.25">
      <c r="A7" s="38"/>
      <c r="B7" s="39" t="s">
        <v>347</v>
      </c>
      <c r="C7" s="40">
        <v>31</v>
      </c>
      <c r="D7" s="126">
        <v>1668</v>
      </c>
      <c r="E7" s="126">
        <v>718</v>
      </c>
      <c r="F7" s="126">
        <v>29</v>
      </c>
      <c r="G7" s="35">
        <v>26.09</v>
      </c>
      <c r="H7" s="35">
        <v>24.47</v>
      </c>
      <c r="I7" s="35">
        <f t="shared" si="0"/>
        <v>50.56</v>
      </c>
      <c r="J7" s="191" t="s">
        <v>350</v>
      </c>
      <c r="K7" s="191">
        <v>2</v>
      </c>
      <c r="L7" s="137">
        <v>700</v>
      </c>
      <c r="M7" s="35">
        <v>5</v>
      </c>
      <c r="N7" s="35">
        <f t="shared" si="1"/>
        <v>3500</v>
      </c>
      <c r="O7" s="35">
        <v>1</v>
      </c>
      <c r="P7" s="35">
        <v>1</v>
      </c>
    </row>
    <row r="8" spans="1:16" x14ac:dyDescent="0.25">
      <c r="A8" s="38"/>
      <c r="B8" s="39" t="s">
        <v>361</v>
      </c>
      <c r="C8" s="40">
        <v>32</v>
      </c>
      <c r="D8" s="40">
        <v>1583</v>
      </c>
      <c r="E8" s="40">
        <v>473</v>
      </c>
      <c r="F8" s="40">
        <v>28</v>
      </c>
      <c r="G8" s="35">
        <v>22.92</v>
      </c>
      <c r="H8" s="35">
        <v>10.199999999999999</v>
      </c>
      <c r="I8" s="35">
        <f t="shared" si="0"/>
        <v>33.120000000000005</v>
      </c>
      <c r="J8" s="127" t="s">
        <v>352</v>
      </c>
      <c r="K8" s="40">
        <v>2</v>
      </c>
      <c r="L8" s="137">
        <v>700</v>
      </c>
      <c r="M8" s="35">
        <v>5</v>
      </c>
      <c r="N8" s="35">
        <f t="shared" si="1"/>
        <v>3500</v>
      </c>
      <c r="O8" s="35">
        <v>1</v>
      </c>
      <c r="P8" s="35">
        <v>1</v>
      </c>
    </row>
    <row r="9" spans="1:16" x14ac:dyDescent="0.25">
      <c r="A9" s="38"/>
      <c r="B9" s="39" t="s">
        <v>349</v>
      </c>
      <c r="C9" s="40">
        <v>14</v>
      </c>
      <c r="D9" s="126">
        <v>6452</v>
      </c>
      <c r="E9" s="126">
        <v>0</v>
      </c>
      <c r="F9" s="126">
        <v>41</v>
      </c>
      <c r="G9" s="35">
        <v>32.75</v>
      </c>
      <c r="H9" s="35">
        <v>24.64</v>
      </c>
      <c r="I9" s="35">
        <f t="shared" si="0"/>
        <v>57.39</v>
      </c>
      <c r="J9" s="127" t="s">
        <v>352</v>
      </c>
      <c r="K9" s="191">
        <v>2</v>
      </c>
      <c r="L9" s="137">
        <v>700</v>
      </c>
      <c r="M9" s="35">
        <v>5</v>
      </c>
      <c r="N9" s="35">
        <f t="shared" si="1"/>
        <v>3500</v>
      </c>
      <c r="O9" s="35">
        <v>1</v>
      </c>
      <c r="P9" s="35">
        <v>1</v>
      </c>
    </row>
    <row r="10" spans="1:16" s="138" customFormat="1" x14ac:dyDescent="0.25">
      <c r="A10" s="38"/>
      <c r="B10" s="39" t="s">
        <v>351</v>
      </c>
      <c r="C10" s="40">
        <v>14</v>
      </c>
      <c r="D10" s="126">
        <v>1675</v>
      </c>
      <c r="E10" s="126">
        <v>0</v>
      </c>
      <c r="F10" s="126">
        <v>48</v>
      </c>
      <c r="G10" s="35">
        <v>5.75</v>
      </c>
      <c r="H10" s="35">
        <v>114.76</v>
      </c>
      <c r="I10" s="35">
        <f t="shared" si="0"/>
        <v>120.51</v>
      </c>
      <c r="J10" s="127" t="s">
        <v>354</v>
      </c>
      <c r="K10" s="191">
        <v>2</v>
      </c>
      <c r="L10" s="137">
        <v>700</v>
      </c>
      <c r="M10" s="35">
        <v>5</v>
      </c>
      <c r="N10" s="35">
        <f t="shared" si="1"/>
        <v>3500</v>
      </c>
      <c r="O10" s="35">
        <v>1</v>
      </c>
      <c r="P10" s="35">
        <v>1</v>
      </c>
    </row>
    <row r="11" spans="1:16" ht="15.75" thickBot="1" x14ac:dyDescent="0.3">
      <c r="A11" s="38"/>
      <c r="B11" s="41" t="s">
        <v>79</v>
      </c>
      <c r="C11" s="42">
        <v>208</v>
      </c>
      <c r="D11" s="132">
        <v>19829</v>
      </c>
      <c r="E11" s="132">
        <v>9853</v>
      </c>
      <c r="F11" s="132">
        <v>1021</v>
      </c>
      <c r="G11" s="133">
        <v>413.98</v>
      </c>
      <c r="H11" s="133">
        <v>136.13999999999999</v>
      </c>
      <c r="I11" s="133">
        <f t="shared" si="0"/>
        <v>550.12</v>
      </c>
      <c r="J11" s="134" t="s">
        <v>430</v>
      </c>
      <c r="K11" s="190">
        <v>8</v>
      </c>
      <c r="L11" s="135">
        <v>700</v>
      </c>
      <c r="M11" s="133">
        <v>5</v>
      </c>
      <c r="N11" s="133">
        <f t="shared" si="1"/>
        <v>3500</v>
      </c>
      <c r="O11" s="133">
        <v>1</v>
      </c>
      <c r="P11" s="133">
        <v>1</v>
      </c>
    </row>
    <row r="12" spans="1:16" ht="16.5" thickTop="1" thickBot="1" x14ac:dyDescent="0.3">
      <c r="A12" s="139"/>
      <c r="B12" s="140"/>
      <c r="C12" s="129">
        <f t="shared" ref="C12:H12" si="2">C10+C9+C7+C6+C5+C4+C3+C11</f>
        <v>644</v>
      </c>
      <c r="D12" s="141">
        <f t="shared" si="2"/>
        <v>87922</v>
      </c>
      <c r="E12" s="141">
        <f t="shared" si="2"/>
        <v>17226</v>
      </c>
      <c r="F12" s="141">
        <f t="shared" si="2"/>
        <v>2423</v>
      </c>
      <c r="G12" s="129">
        <f t="shared" si="2"/>
        <v>790.69</v>
      </c>
      <c r="H12" s="39">
        <f t="shared" si="2"/>
        <v>606.11</v>
      </c>
      <c r="I12" s="130">
        <f>I7+I6+I5+I4+I3+I11+I9+I10</f>
        <v>1396.8000000000002</v>
      </c>
      <c r="J12" s="192"/>
      <c r="K12" s="131"/>
      <c r="L12" s="128"/>
      <c r="M12" s="35"/>
      <c r="N12" s="35"/>
      <c r="O12" s="35"/>
      <c r="P12" s="35"/>
    </row>
    <row r="13" spans="1:16" ht="15.75" thickTop="1" x14ac:dyDescent="0.25">
      <c r="A13" s="35" t="s">
        <v>426</v>
      </c>
      <c r="B13" s="39" t="s">
        <v>353</v>
      </c>
      <c r="C13" s="40">
        <v>254</v>
      </c>
      <c r="D13" s="126">
        <v>8192</v>
      </c>
      <c r="E13" s="126">
        <v>2894</v>
      </c>
      <c r="F13" s="126">
        <v>445</v>
      </c>
      <c r="G13" s="35">
        <v>244.07</v>
      </c>
      <c r="H13" s="35">
        <v>189.8</v>
      </c>
      <c r="I13" s="35">
        <f t="shared" ref="I13:I21" si="3">H13+G13</f>
        <v>433.87</v>
      </c>
      <c r="J13" s="127" t="s">
        <v>431</v>
      </c>
      <c r="K13" s="191">
        <v>6</v>
      </c>
      <c r="L13" s="137">
        <v>700</v>
      </c>
      <c r="M13" s="35">
        <v>5</v>
      </c>
      <c r="N13" s="35">
        <f>M13*L13</f>
        <v>3500</v>
      </c>
      <c r="O13" s="35">
        <v>1</v>
      </c>
      <c r="P13" s="35">
        <v>1</v>
      </c>
    </row>
    <row r="14" spans="1:16" x14ac:dyDescent="0.25">
      <c r="A14" s="38"/>
      <c r="B14" s="39" t="s">
        <v>355</v>
      </c>
      <c r="C14" s="40">
        <v>8</v>
      </c>
      <c r="D14" s="126">
        <v>437</v>
      </c>
      <c r="E14" s="126">
        <v>109</v>
      </c>
      <c r="F14" s="126">
        <v>25</v>
      </c>
      <c r="G14" s="35">
        <v>5.75</v>
      </c>
      <c r="H14" s="35">
        <v>0.55000000000000004</v>
      </c>
      <c r="I14" s="35">
        <f t="shared" si="3"/>
        <v>6.3</v>
      </c>
      <c r="J14" s="127" t="s">
        <v>358</v>
      </c>
      <c r="K14" s="191">
        <v>2</v>
      </c>
      <c r="L14" s="128">
        <v>700</v>
      </c>
      <c r="M14" s="35">
        <v>5</v>
      </c>
      <c r="N14" s="35">
        <f>M14*L14</f>
        <v>3500</v>
      </c>
      <c r="O14" s="35">
        <v>1</v>
      </c>
      <c r="P14" s="35">
        <v>1</v>
      </c>
    </row>
    <row r="15" spans="1:16" x14ac:dyDescent="0.25">
      <c r="A15" s="38"/>
      <c r="B15" s="41" t="s">
        <v>356</v>
      </c>
      <c r="C15" s="42">
        <v>98</v>
      </c>
      <c r="D15" s="132">
        <v>7934</v>
      </c>
      <c r="E15" s="132">
        <v>930</v>
      </c>
      <c r="F15" s="132">
        <v>251</v>
      </c>
      <c r="G15" s="133">
        <v>80.959999999999994</v>
      </c>
      <c r="H15" s="133">
        <v>140.02000000000001</v>
      </c>
      <c r="I15" s="133">
        <f t="shared" si="3"/>
        <v>220.98000000000002</v>
      </c>
      <c r="J15" s="134" t="s">
        <v>360</v>
      </c>
      <c r="K15" s="190">
        <v>6</v>
      </c>
      <c r="L15" s="135">
        <v>700</v>
      </c>
      <c r="M15" s="133">
        <v>5</v>
      </c>
      <c r="N15" s="133">
        <f t="shared" ref="N15:N18" si="4">M15*L15</f>
        <v>3500</v>
      </c>
      <c r="O15" s="133">
        <v>1</v>
      </c>
      <c r="P15" s="133">
        <v>1</v>
      </c>
    </row>
    <row r="16" spans="1:16" x14ac:dyDescent="0.25">
      <c r="A16" s="38"/>
      <c r="B16" s="41" t="s">
        <v>357</v>
      </c>
      <c r="C16" s="42">
        <v>184</v>
      </c>
      <c r="D16" s="132">
        <v>16432</v>
      </c>
      <c r="E16" s="132">
        <v>3798</v>
      </c>
      <c r="F16" s="132">
        <v>564</v>
      </c>
      <c r="G16" s="133">
        <v>192.3</v>
      </c>
      <c r="H16" s="133">
        <v>278.04000000000002</v>
      </c>
      <c r="I16" s="133">
        <f t="shared" si="3"/>
        <v>470.34000000000003</v>
      </c>
      <c r="J16" s="134" t="s">
        <v>362</v>
      </c>
      <c r="K16" s="190">
        <v>8</v>
      </c>
      <c r="L16" s="135">
        <v>700</v>
      </c>
      <c r="M16" s="133">
        <v>5</v>
      </c>
      <c r="N16" s="133">
        <f t="shared" si="4"/>
        <v>3500</v>
      </c>
      <c r="O16" s="133">
        <v>1</v>
      </c>
      <c r="P16" s="133">
        <v>1</v>
      </c>
    </row>
    <row r="17" spans="1:16" x14ac:dyDescent="0.25">
      <c r="A17" s="38"/>
      <c r="B17" s="41" t="s">
        <v>359</v>
      </c>
      <c r="C17" s="42">
        <v>163</v>
      </c>
      <c r="D17" s="132">
        <v>10552</v>
      </c>
      <c r="E17" s="132">
        <v>1887</v>
      </c>
      <c r="F17" s="132">
        <v>310</v>
      </c>
      <c r="G17" s="133">
        <v>120.57</v>
      </c>
      <c r="H17" s="133">
        <v>176.14</v>
      </c>
      <c r="I17" s="133">
        <f t="shared" si="3"/>
        <v>296.70999999999998</v>
      </c>
      <c r="J17" s="134" t="s">
        <v>435</v>
      </c>
      <c r="K17" s="190">
        <v>5</v>
      </c>
      <c r="L17" s="135">
        <v>700</v>
      </c>
      <c r="M17" s="133">
        <v>5</v>
      </c>
      <c r="N17" s="133">
        <f t="shared" si="4"/>
        <v>3500</v>
      </c>
      <c r="O17" s="133">
        <v>1</v>
      </c>
      <c r="P17" s="133">
        <v>1</v>
      </c>
    </row>
    <row r="18" spans="1:16" x14ac:dyDescent="0.25">
      <c r="A18" s="38"/>
      <c r="B18" s="41" t="s">
        <v>363</v>
      </c>
      <c r="C18" s="42">
        <v>36</v>
      </c>
      <c r="D18" s="132">
        <v>2312</v>
      </c>
      <c r="E18" s="132">
        <v>0</v>
      </c>
      <c r="F18" s="132">
        <v>33</v>
      </c>
      <c r="G18" s="133">
        <v>5.1100000000000003</v>
      </c>
      <c r="H18" s="133">
        <v>1.82</v>
      </c>
      <c r="I18" s="133">
        <f t="shared" si="3"/>
        <v>6.9300000000000006</v>
      </c>
      <c r="J18" s="134" t="s">
        <v>366</v>
      </c>
      <c r="K18" s="190">
        <v>2</v>
      </c>
      <c r="L18" s="135">
        <v>700</v>
      </c>
      <c r="M18" s="133">
        <v>5</v>
      </c>
      <c r="N18" s="133">
        <f t="shared" si="4"/>
        <v>3500</v>
      </c>
      <c r="O18" s="133">
        <v>1</v>
      </c>
      <c r="P18" s="133">
        <v>1</v>
      </c>
    </row>
    <row r="19" spans="1:16" x14ac:dyDescent="0.25">
      <c r="A19" s="38"/>
      <c r="B19" s="41" t="s">
        <v>364</v>
      </c>
      <c r="C19" s="42">
        <v>25</v>
      </c>
      <c r="D19" s="132">
        <v>2283</v>
      </c>
      <c r="E19" s="132">
        <v>830</v>
      </c>
      <c r="F19" s="132">
        <v>84</v>
      </c>
      <c r="G19" s="133">
        <v>39.97</v>
      </c>
      <c r="H19" s="133">
        <v>13.85</v>
      </c>
      <c r="I19" s="133">
        <f t="shared" si="3"/>
        <v>53.82</v>
      </c>
      <c r="J19" s="134" t="s">
        <v>432</v>
      </c>
      <c r="K19" s="190">
        <v>2</v>
      </c>
      <c r="L19" s="135"/>
      <c r="M19" s="133"/>
      <c r="N19" s="133"/>
      <c r="O19" s="133"/>
      <c r="P19" s="133"/>
    </row>
    <row r="20" spans="1:16" x14ac:dyDescent="0.25">
      <c r="A20" s="38"/>
      <c r="B20" s="41" t="s">
        <v>365</v>
      </c>
      <c r="C20" s="42">
        <v>100</v>
      </c>
      <c r="D20" s="132">
        <v>1953</v>
      </c>
      <c r="E20" s="132">
        <v>1256</v>
      </c>
      <c r="F20" s="132">
        <v>175</v>
      </c>
      <c r="G20" s="133">
        <v>36.340000000000003</v>
      </c>
      <c r="H20" s="133">
        <v>26.62</v>
      </c>
      <c r="I20" s="133">
        <f t="shared" si="3"/>
        <v>62.960000000000008</v>
      </c>
      <c r="J20" s="134" t="s">
        <v>433</v>
      </c>
      <c r="K20" s="190">
        <v>3</v>
      </c>
      <c r="L20" s="135">
        <v>700</v>
      </c>
      <c r="M20" s="133">
        <v>5</v>
      </c>
      <c r="N20" s="133">
        <f>M20*L20</f>
        <v>3500</v>
      </c>
      <c r="O20" s="133">
        <v>1</v>
      </c>
      <c r="P20" s="133">
        <v>1</v>
      </c>
    </row>
    <row r="21" spans="1:16" ht="15.75" thickBot="1" x14ac:dyDescent="0.3">
      <c r="A21" s="38"/>
      <c r="B21" s="41" t="s">
        <v>367</v>
      </c>
      <c r="C21" s="42">
        <v>227</v>
      </c>
      <c r="D21" s="132">
        <v>10433</v>
      </c>
      <c r="E21" s="132">
        <v>2962</v>
      </c>
      <c r="F21" s="132">
        <v>725</v>
      </c>
      <c r="G21" s="133">
        <v>94.35</v>
      </c>
      <c r="H21" s="133">
        <v>56.44</v>
      </c>
      <c r="I21" s="133">
        <f t="shared" si="3"/>
        <v>150.79</v>
      </c>
      <c r="J21" s="134" t="s">
        <v>434</v>
      </c>
      <c r="K21" s="190">
        <v>5</v>
      </c>
      <c r="L21" s="135"/>
      <c r="M21" s="133"/>
      <c r="N21" s="133"/>
      <c r="O21" s="133"/>
      <c r="P21" s="133"/>
    </row>
    <row r="22" spans="1:16" ht="16.5" thickTop="1" thickBot="1" x14ac:dyDescent="0.3">
      <c r="A22" s="38"/>
      <c r="C22" s="142">
        <f t="shared" ref="C22:I22" si="5">C21+C20+C19+C18+C8+C17+C16+C15+C14+C13</f>
        <v>1127</v>
      </c>
      <c r="D22" s="142">
        <f t="shared" si="5"/>
        <v>62111</v>
      </c>
      <c r="E22" s="142">
        <f t="shared" si="5"/>
        <v>15139</v>
      </c>
      <c r="F22" s="142">
        <f t="shared" si="5"/>
        <v>2640</v>
      </c>
      <c r="G22" s="143">
        <f t="shared" si="5"/>
        <v>842.33999999999992</v>
      </c>
      <c r="H22" s="143">
        <f t="shared" si="5"/>
        <v>893.48</v>
      </c>
      <c r="I22" s="130">
        <f t="shared" si="5"/>
        <v>1735.8200000000002</v>
      </c>
      <c r="J22" s="192"/>
      <c r="K22" s="131"/>
      <c r="L22" s="128"/>
      <c r="M22" s="35"/>
      <c r="N22" s="35"/>
      <c r="O22" s="35"/>
      <c r="P22" s="35"/>
    </row>
    <row r="23" spans="1:16" ht="15.75" thickTop="1" x14ac:dyDescent="0.25"/>
  </sheetData>
  <phoneticPr fontId="29" type="noConversion"/>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9849-1D6F-487D-A344-2D618D126240}">
  <dimension ref="A1:P51"/>
  <sheetViews>
    <sheetView workbookViewId="0">
      <selection activeCell="L5" sqref="L5:L40"/>
    </sheetView>
  </sheetViews>
  <sheetFormatPr defaultColWidth="8.85546875" defaultRowHeight="14.25" x14ac:dyDescent="0.2"/>
  <cols>
    <col min="1" max="1" width="21.140625" style="116" customWidth="1"/>
    <col min="2" max="2" width="17.85546875" style="116" customWidth="1"/>
    <col min="3" max="3" width="11.7109375" style="116" customWidth="1"/>
    <col min="4" max="4" width="7" style="116" customWidth="1"/>
    <col min="5" max="5" width="16" style="116" customWidth="1"/>
    <col min="6" max="6" width="4.140625" style="116" customWidth="1"/>
    <col min="7" max="7" width="13.28515625" style="116" customWidth="1"/>
    <col min="8" max="8" width="7" style="116" customWidth="1"/>
    <col min="9" max="9" width="14.7109375" style="116" customWidth="1"/>
    <col min="10" max="10" width="17.140625" style="116" customWidth="1"/>
    <col min="11" max="11" width="18.140625" style="116" customWidth="1"/>
    <col min="12" max="12" width="12.85546875" style="116" customWidth="1"/>
    <col min="13" max="13" width="15.5703125" style="116" customWidth="1"/>
    <col min="14" max="15" width="8.85546875" style="116"/>
    <col min="16" max="16" width="16.28515625" style="116" bestFit="1" customWidth="1"/>
    <col min="17" max="16384" width="8.85546875" style="116"/>
  </cols>
  <sheetData>
    <row r="1" spans="1:16" ht="18" x14ac:dyDescent="0.25">
      <c r="A1" s="146" t="s">
        <v>369</v>
      </c>
    </row>
    <row r="2" spans="1:16" ht="18" x14ac:dyDescent="0.25">
      <c r="A2" s="146"/>
    </row>
    <row r="3" spans="1:16" ht="18" x14ac:dyDescent="0.25">
      <c r="A3" s="146" t="s">
        <v>370</v>
      </c>
      <c r="B3" s="146"/>
      <c r="C3" s="146"/>
      <c r="D3" s="146"/>
      <c r="E3" s="146" t="s">
        <v>371</v>
      </c>
      <c r="I3" s="146" t="s">
        <v>372</v>
      </c>
    </row>
    <row r="5" spans="1:16" x14ac:dyDescent="0.2">
      <c r="A5" s="35" t="s">
        <v>373</v>
      </c>
      <c r="B5" s="35" t="s">
        <v>374</v>
      </c>
      <c r="C5" s="35" t="s">
        <v>25</v>
      </c>
      <c r="D5" s="147"/>
      <c r="E5" s="35" t="s">
        <v>374</v>
      </c>
      <c r="F5" s="35" t="s">
        <v>25</v>
      </c>
      <c r="G5" s="35" t="s">
        <v>375</v>
      </c>
      <c r="H5" s="147"/>
      <c r="I5" s="35" t="s">
        <v>376</v>
      </c>
      <c r="J5" s="35" t="s">
        <v>377</v>
      </c>
      <c r="K5" s="35" t="s">
        <v>374</v>
      </c>
      <c r="L5" s="35" t="s">
        <v>25</v>
      </c>
      <c r="M5" s="35" t="s">
        <v>375</v>
      </c>
      <c r="N5" s="116" t="s">
        <v>378</v>
      </c>
    </row>
    <row r="6" spans="1:16" x14ac:dyDescent="0.2">
      <c r="A6" s="125" t="s">
        <v>379</v>
      </c>
      <c r="B6" s="125">
        <v>13</v>
      </c>
      <c r="C6" s="148">
        <v>0</v>
      </c>
      <c r="D6" s="147"/>
      <c r="E6" s="125"/>
      <c r="F6" s="125"/>
      <c r="G6" s="125">
        <f t="shared" ref="G6:G20" si="0">E6-B6</f>
        <v>-13</v>
      </c>
      <c r="H6" s="147"/>
      <c r="I6" s="125">
        <v>6.5</v>
      </c>
      <c r="J6" s="125">
        <v>6.5</v>
      </c>
      <c r="K6" s="125">
        <f>J6+I6</f>
        <v>13</v>
      </c>
      <c r="L6" s="148">
        <v>0</v>
      </c>
      <c r="M6" s="125">
        <f>K6-B6</f>
        <v>0</v>
      </c>
    </row>
    <row r="7" spans="1:16" x14ac:dyDescent="0.2">
      <c r="A7" s="35" t="s">
        <v>86</v>
      </c>
      <c r="B7" s="35">
        <v>42.71</v>
      </c>
      <c r="C7" s="149">
        <v>21</v>
      </c>
      <c r="D7" s="147"/>
      <c r="E7" s="35"/>
      <c r="F7" s="35"/>
      <c r="G7" s="35">
        <f t="shared" si="0"/>
        <v>-42.71</v>
      </c>
      <c r="H7" s="147"/>
      <c r="I7" s="35">
        <v>26.09</v>
      </c>
      <c r="J7" s="35">
        <v>24.47</v>
      </c>
      <c r="K7" s="125">
        <f t="shared" ref="K7:K39" si="1">J7+I7</f>
        <v>50.56</v>
      </c>
      <c r="L7" s="149">
        <v>29</v>
      </c>
      <c r="M7" s="35">
        <f>K7-B7</f>
        <v>7.8500000000000014</v>
      </c>
    </row>
    <row r="8" spans="1:16" x14ac:dyDescent="0.2">
      <c r="A8" s="125" t="s">
        <v>380</v>
      </c>
      <c r="B8" s="125">
        <v>77.89</v>
      </c>
      <c r="C8" s="148">
        <v>127</v>
      </c>
      <c r="D8" s="147"/>
      <c r="E8" s="125"/>
      <c r="F8" s="125"/>
      <c r="G8" s="125">
        <f t="shared" si="0"/>
        <v>-77.89</v>
      </c>
      <c r="H8" s="147"/>
      <c r="I8" s="125">
        <v>78.180000000000007</v>
      </c>
      <c r="J8" s="125">
        <v>58.46</v>
      </c>
      <c r="K8" s="125">
        <f t="shared" si="1"/>
        <v>136.64000000000001</v>
      </c>
      <c r="L8" s="148">
        <v>133</v>
      </c>
      <c r="M8" s="125">
        <f t="shared" ref="M8:M38" si="2">K8-B8</f>
        <v>58.750000000000014</v>
      </c>
    </row>
    <row r="9" spans="1:16" x14ac:dyDescent="0.2">
      <c r="A9" s="35" t="s">
        <v>381</v>
      </c>
      <c r="B9" s="35">
        <v>1.9</v>
      </c>
      <c r="C9" s="149">
        <v>8</v>
      </c>
      <c r="D9" s="147"/>
      <c r="E9" s="35"/>
      <c r="F9" s="35"/>
      <c r="G9" s="35">
        <f t="shared" si="0"/>
        <v>-1.9</v>
      </c>
      <c r="H9" s="147"/>
      <c r="I9" s="35">
        <v>1.95</v>
      </c>
      <c r="J9" s="35">
        <v>1.55</v>
      </c>
      <c r="K9" s="125">
        <f t="shared" si="1"/>
        <v>3.5</v>
      </c>
      <c r="L9" s="149">
        <v>7</v>
      </c>
      <c r="M9" s="35">
        <f t="shared" si="2"/>
        <v>1.6</v>
      </c>
    </row>
    <row r="10" spans="1:16" x14ac:dyDescent="0.2">
      <c r="A10" s="125" t="s">
        <v>87</v>
      </c>
      <c r="B10" s="125">
        <v>53.82</v>
      </c>
      <c r="C10" s="148">
        <v>84</v>
      </c>
      <c r="D10" s="147"/>
      <c r="E10" s="125"/>
      <c r="F10" s="125"/>
      <c r="G10" s="125">
        <f t="shared" si="0"/>
        <v>-53.82</v>
      </c>
      <c r="H10" s="147"/>
      <c r="I10" s="125">
        <v>39.97</v>
      </c>
      <c r="J10" s="125">
        <v>13.85</v>
      </c>
      <c r="K10" s="125">
        <f t="shared" si="1"/>
        <v>53.82</v>
      </c>
      <c r="L10" s="148">
        <v>84</v>
      </c>
      <c r="M10" s="125">
        <f t="shared" si="2"/>
        <v>0</v>
      </c>
    </row>
    <row r="11" spans="1:16" x14ac:dyDescent="0.2">
      <c r="A11" s="35" t="s">
        <v>382</v>
      </c>
      <c r="B11" s="35">
        <v>1</v>
      </c>
      <c r="C11" s="149">
        <v>0</v>
      </c>
      <c r="D11" s="147"/>
      <c r="E11" s="35"/>
      <c r="F11" s="35"/>
      <c r="G11" s="35">
        <f t="shared" si="0"/>
        <v>-1</v>
      </c>
      <c r="H11" s="147"/>
      <c r="I11" s="35">
        <v>1</v>
      </c>
      <c r="J11" s="35">
        <v>0</v>
      </c>
      <c r="K11" s="125">
        <f t="shared" si="1"/>
        <v>1</v>
      </c>
      <c r="L11" s="149">
        <v>2</v>
      </c>
      <c r="M11" s="35">
        <f t="shared" si="2"/>
        <v>0</v>
      </c>
    </row>
    <row r="12" spans="1:16" x14ac:dyDescent="0.2">
      <c r="A12" s="125" t="s">
        <v>383</v>
      </c>
      <c r="B12" s="125">
        <v>540.92999999999995</v>
      </c>
      <c r="C12" s="148">
        <v>1071</v>
      </c>
      <c r="D12" s="147"/>
      <c r="E12" s="125"/>
      <c r="F12" s="125"/>
      <c r="G12" s="125">
        <f t="shared" si="0"/>
        <v>-540.92999999999995</v>
      </c>
      <c r="H12" s="147"/>
      <c r="I12" s="125">
        <v>536.04999999999995</v>
      </c>
      <c r="J12" s="125">
        <v>65.040000000000006</v>
      </c>
      <c r="K12" s="125">
        <f t="shared" si="1"/>
        <v>601.08999999999992</v>
      </c>
      <c r="L12" s="148">
        <v>1763</v>
      </c>
      <c r="M12" s="125">
        <f t="shared" si="2"/>
        <v>60.159999999999968</v>
      </c>
    </row>
    <row r="13" spans="1:16" x14ac:dyDescent="0.2">
      <c r="A13" s="35" t="s">
        <v>88</v>
      </c>
      <c r="B13" s="35">
        <v>48.11</v>
      </c>
      <c r="C13" s="149">
        <v>12</v>
      </c>
      <c r="D13" s="147"/>
      <c r="E13" s="35"/>
      <c r="F13" s="35"/>
      <c r="G13" s="35">
        <f t="shared" si="0"/>
        <v>-48.11</v>
      </c>
      <c r="H13" s="147"/>
      <c r="I13" s="35">
        <v>32.75</v>
      </c>
      <c r="J13" s="35">
        <v>24.64</v>
      </c>
      <c r="K13" s="125">
        <f t="shared" si="1"/>
        <v>57.39</v>
      </c>
      <c r="L13" s="149">
        <v>41</v>
      </c>
      <c r="M13" s="35">
        <f t="shared" si="2"/>
        <v>9.2800000000000011</v>
      </c>
    </row>
    <row r="14" spans="1:16" x14ac:dyDescent="0.2">
      <c r="A14" s="125" t="s">
        <v>384</v>
      </c>
      <c r="B14" s="125">
        <v>0</v>
      </c>
      <c r="C14" s="148">
        <v>0</v>
      </c>
      <c r="D14" s="147"/>
      <c r="E14" s="125"/>
      <c r="F14" s="125"/>
      <c r="G14" s="125">
        <f t="shared" si="0"/>
        <v>0</v>
      </c>
      <c r="H14" s="147"/>
      <c r="I14" s="125">
        <v>0</v>
      </c>
      <c r="J14" s="125">
        <v>0</v>
      </c>
      <c r="K14" s="125">
        <f t="shared" si="1"/>
        <v>0</v>
      </c>
      <c r="L14" s="148">
        <v>0</v>
      </c>
      <c r="M14" s="125">
        <f t="shared" si="2"/>
        <v>0</v>
      </c>
      <c r="P14" s="150">
        <v>1015000</v>
      </c>
    </row>
    <row r="15" spans="1:16" x14ac:dyDescent="0.2">
      <c r="A15" s="35" t="s">
        <v>89</v>
      </c>
      <c r="B15" s="35">
        <v>312.95999999999998</v>
      </c>
      <c r="C15" s="149">
        <v>391</v>
      </c>
      <c r="D15" s="147"/>
      <c r="E15" s="35"/>
      <c r="F15" s="35"/>
      <c r="G15" s="35">
        <f t="shared" si="0"/>
        <v>-312.95999999999998</v>
      </c>
      <c r="H15" s="147"/>
      <c r="I15" s="35">
        <v>192.3</v>
      </c>
      <c r="J15" s="35">
        <v>278.04000000000002</v>
      </c>
      <c r="K15" s="125">
        <f t="shared" si="1"/>
        <v>470.34000000000003</v>
      </c>
      <c r="L15" s="149">
        <v>564</v>
      </c>
      <c r="M15" s="35">
        <f t="shared" si="2"/>
        <v>157.38000000000005</v>
      </c>
      <c r="P15" s="116" t="s">
        <v>385</v>
      </c>
    </row>
    <row r="16" spans="1:16" x14ac:dyDescent="0.2">
      <c r="A16" s="125" t="s">
        <v>90</v>
      </c>
      <c r="B16" s="125">
        <v>7.5</v>
      </c>
      <c r="C16" s="148">
        <v>26</v>
      </c>
      <c r="D16" s="147"/>
      <c r="E16" s="125"/>
      <c r="F16" s="125"/>
      <c r="G16" s="125">
        <f t="shared" si="0"/>
        <v>-7.5</v>
      </c>
      <c r="H16" s="147"/>
      <c r="I16" s="125">
        <v>5.75</v>
      </c>
      <c r="J16" s="125">
        <v>0.55000000000000004</v>
      </c>
      <c r="K16" s="125">
        <f t="shared" si="1"/>
        <v>6.3</v>
      </c>
      <c r="L16" s="148">
        <v>25</v>
      </c>
      <c r="M16" s="125">
        <f t="shared" si="2"/>
        <v>-1.2000000000000002</v>
      </c>
    </row>
    <row r="17" spans="1:16" x14ac:dyDescent="0.2">
      <c r="A17" s="35" t="s">
        <v>386</v>
      </c>
      <c r="B17" s="35">
        <v>502.44</v>
      </c>
      <c r="C17" s="149">
        <v>832</v>
      </c>
      <c r="D17" s="147"/>
      <c r="E17" s="35"/>
      <c r="F17" s="35"/>
      <c r="G17" s="35">
        <f t="shared" si="0"/>
        <v>-502.44</v>
      </c>
      <c r="H17" s="147"/>
      <c r="I17" s="35">
        <v>413.98</v>
      </c>
      <c r="J17" s="35">
        <v>136.13999999999999</v>
      </c>
      <c r="K17" s="125">
        <f t="shared" si="1"/>
        <v>550.12</v>
      </c>
      <c r="L17" s="149">
        <v>1021</v>
      </c>
      <c r="M17" s="35">
        <f t="shared" si="2"/>
        <v>47.680000000000007</v>
      </c>
    </row>
    <row r="18" spans="1:16" x14ac:dyDescent="0.2">
      <c r="A18" s="125" t="s">
        <v>387</v>
      </c>
      <c r="B18" s="125">
        <v>395.72</v>
      </c>
      <c r="C18" s="148">
        <v>852</v>
      </c>
      <c r="D18" s="147"/>
      <c r="E18" s="125"/>
      <c r="F18" s="125"/>
      <c r="G18" s="125">
        <f t="shared" si="0"/>
        <v>-395.72</v>
      </c>
      <c r="H18" s="147"/>
      <c r="I18" s="125">
        <v>379.35</v>
      </c>
      <c r="J18" s="125">
        <v>35.65</v>
      </c>
      <c r="K18" s="125">
        <f t="shared" si="1"/>
        <v>415</v>
      </c>
      <c r="L18" s="148">
        <v>1119</v>
      </c>
      <c r="M18" s="125">
        <f t="shared" si="2"/>
        <v>19.279999999999973</v>
      </c>
      <c r="P18" s="150">
        <v>508000</v>
      </c>
    </row>
    <row r="19" spans="1:16" x14ac:dyDescent="0.2">
      <c r="A19" s="35" t="s">
        <v>91</v>
      </c>
      <c r="B19" s="35">
        <v>20</v>
      </c>
      <c r="C19" s="149">
        <v>260</v>
      </c>
      <c r="D19" s="147"/>
      <c r="E19" s="35"/>
      <c r="F19" s="35"/>
      <c r="G19" s="35">
        <f t="shared" si="0"/>
        <v>-20</v>
      </c>
      <c r="H19" s="147"/>
      <c r="I19" s="35">
        <v>51.5</v>
      </c>
      <c r="J19" s="35">
        <v>20.7</v>
      </c>
      <c r="K19" s="125">
        <f t="shared" si="1"/>
        <v>72.2</v>
      </c>
      <c r="L19" s="149">
        <v>146</v>
      </c>
      <c r="M19" s="35">
        <f t="shared" si="2"/>
        <v>52.2</v>
      </c>
      <c r="P19" s="116" t="s">
        <v>388</v>
      </c>
    </row>
    <row r="20" spans="1:16" x14ac:dyDescent="0.2">
      <c r="A20" s="125" t="s">
        <v>389</v>
      </c>
      <c r="B20" s="125">
        <v>253.48</v>
      </c>
      <c r="C20" s="148">
        <v>467</v>
      </c>
      <c r="D20" s="147"/>
      <c r="E20" s="125"/>
      <c r="F20" s="125"/>
      <c r="G20" s="125">
        <f t="shared" si="0"/>
        <v>-253.48</v>
      </c>
      <c r="H20" s="147"/>
      <c r="I20" s="125">
        <v>212.43</v>
      </c>
      <c r="J20" s="125">
        <v>48.19</v>
      </c>
      <c r="K20" s="125">
        <f t="shared" si="1"/>
        <v>260.62</v>
      </c>
      <c r="L20" s="148">
        <v>488</v>
      </c>
      <c r="M20" s="125">
        <f t="shared" si="2"/>
        <v>7.1400000000000148</v>
      </c>
    </row>
    <row r="21" spans="1:16" x14ac:dyDescent="0.2">
      <c r="A21" s="35" t="s">
        <v>390</v>
      </c>
      <c r="B21" s="35">
        <v>465.59</v>
      </c>
      <c r="C21" s="149">
        <v>823</v>
      </c>
      <c r="D21" s="151"/>
      <c r="E21" s="35">
        <v>617.54999999999995</v>
      </c>
      <c r="F21" s="35"/>
      <c r="G21" s="35">
        <f>E21-B21</f>
        <v>151.95999999999998</v>
      </c>
      <c r="H21" s="151"/>
      <c r="I21" s="35">
        <v>455.62</v>
      </c>
      <c r="J21" s="35">
        <v>97.35</v>
      </c>
      <c r="K21" s="125">
        <f t="shared" si="1"/>
        <v>552.97</v>
      </c>
      <c r="L21" s="149">
        <v>1214</v>
      </c>
      <c r="M21" s="35">
        <f t="shared" si="2"/>
        <v>87.380000000000052</v>
      </c>
      <c r="N21" s="116">
        <f>K21-E21</f>
        <v>-64.579999999999927</v>
      </c>
    </row>
    <row r="22" spans="1:16" x14ac:dyDescent="0.2">
      <c r="A22" s="125" t="s">
        <v>391</v>
      </c>
      <c r="B22" s="125">
        <v>260.98</v>
      </c>
      <c r="C22" s="148">
        <v>541</v>
      </c>
      <c r="D22" s="151"/>
      <c r="E22" s="125">
        <v>259.32</v>
      </c>
      <c r="F22" s="125"/>
      <c r="G22" s="125">
        <f t="shared" ref="G22:G39" si="3">E22-B22</f>
        <v>-1.660000000000025</v>
      </c>
      <c r="H22" s="151"/>
      <c r="I22" s="125">
        <v>242.95</v>
      </c>
      <c r="J22" s="125">
        <v>29.08</v>
      </c>
      <c r="K22" s="125">
        <f t="shared" si="1"/>
        <v>272.02999999999997</v>
      </c>
      <c r="L22" s="148">
        <v>663</v>
      </c>
      <c r="M22" s="125">
        <f t="shared" si="2"/>
        <v>11.049999999999955</v>
      </c>
      <c r="N22" s="116">
        <f>K22-E22</f>
        <v>12.70999999999998</v>
      </c>
    </row>
    <row r="23" spans="1:16" x14ac:dyDescent="0.2">
      <c r="A23" s="35" t="s">
        <v>92</v>
      </c>
      <c r="B23" s="35">
        <v>95.94</v>
      </c>
      <c r="C23" s="149">
        <v>184</v>
      </c>
      <c r="D23" s="147"/>
      <c r="E23" s="35"/>
      <c r="F23" s="35"/>
      <c r="G23" s="35">
        <f t="shared" si="3"/>
        <v>-95.94</v>
      </c>
      <c r="H23" s="147"/>
      <c r="I23" s="35">
        <v>80.959999999999994</v>
      </c>
      <c r="J23" s="35">
        <v>140.02000000000001</v>
      </c>
      <c r="K23" s="125">
        <f t="shared" si="1"/>
        <v>220.98000000000002</v>
      </c>
      <c r="L23" s="149">
        <v>251</v>
      </c>
      <c r="M23" s="35">
        <f t="shared" si="2"/>
        <v>125.04000000000002</v>
      </c>
    </row>
    <row r="24" spans="1:16" x14ac:dyDescent="0.2">
      <c r="A24" s="125" t="s">
        <v>93</v>
      </c>
      <c r="B24" s="125">
        <v>73</v>
      </c>
      <c r="C24" s="148">
        <v>36</v>
      </c>
      <c r="D24" s="147"/>
      <c r="E24" s="125"/>
      <c r="F24" s="125"/>
      <c r="G24" s="125">
        <f t="shared" si="3"/>
        <v>-73</v>
      </c>
      <c r="H24" s="147"/>
      <c r="I24" s="125">
        <v>5.75</v>
      </c>
      <c r="J24" s="125">
        <v>114.76</v>
      </c>
      <c r="K24" s="125">
        <f t="shared" si="1"/>
        <v>120.51</v>
      </c>
      <c r="L24" s="148">
        <v>48</v>
      </c>
      <c r="M24" s="125">
        <f t="shared" si="2"/>
        <v>47.510000000000005</v>
      </c>
      <c r="P24" s="152">
        <f>P18/E40</f>
        <v>200.91439781050767</v>
      </c>
    </row>
    <row r="25" spans="1:16" x14ac:dyDescent="0.2">
      <c r="A25" s="35" t="s">
        <v>392</v>
      </c>
      <c r="B25" s="35">
        <v>361.08</v>
      </c>
      <c r="C25" s="149">
        <v>776</v>
      </c>
      <c r="D25" s="147"/>
      <c r="E25" s="35"/>
      <c r="F25" s="35"/>
      <c r="G25" s="35">
        <f t="shared" si="3"/>
        <v>-361.08</v>
      </c>
      <c r="H25" s="147"/>
      <c r="I25" s="35">
        <v>178.19</v>
      </c>
      <c r="J25" s="35">
        <v>219.9</v>
      </c>
      <c r="K25" s="125">
        <f t="shared" si="1"/>
        <v>398.09000000000003</v>
      </c>
      <c r="L25" s="149">
        <v>756</v>
      </c>
      <c r="M25" s="35">
        <f t="shared" si="2"/>
        <v>37.010000000000048</v>
      </c>
    </row>
    <row r="26" spans="1:16" x14ac:dyDescent="0.2">
      <c r="A26" s="125" t="s">
        <v>94</v>
      </c>
      <c r="B26" s="125">
        <v>9.49</v>
      </c>
      <c r="C26" s="148">
        <v>10</v>
      </c>
      <c r="D26" s="147"/>
      <c r="E26" s="125"/>
      <c r="F26" s="125"/>
      <c r="G26" s="125">
        <f t="shared" si="3"/>
        <v>-9.49</v>
      </c>
      <c r="H26" s="147"/>
      <c r="I26" s="125">
        <v>5.1100000000000003</v>
      </c>
      <c r="J26" s="125">
        <v>1.82</v>
      </c>
      <c r="K26" s="125">
        <f t="shared" si="1"/>
        <v>6.9300000000000006</v>
      </c>
      <c r="L26" s="148">
        <v>33</v>
      </c>
      <c r="M26" s="125">
        <f t="shared" si="2"/>
        <v>-2.5599999999999996</v>
      </c>
    </row>
    <row r="27" spans="1:16" x14ac:dyDescent="0.2">
      <c r="A27" s="35" t="s">
        <v>95</v>
      </c>
      <c r="B27" s="35">
        <v>121.78</v>
      </c>
      <c r="C27" s="149">
        <v>196</v>
      </c>
      <c r="D27" s="147"/>
      <c r="E27" s="35"/>
      <c r="F27" s="35"/>
      <c r="G27" s="35">
        <f t="shared" si="3"/>
        <v>-121.78</v>
      </c>
      <c r="H27" s="147"/>
      <c r="I27" s="35">
        <v>120.57</v>
      </c>
      <c r="J27" s="35">
        <v>176.14</v>
      </c>
      <c r="K27" s="125">
        <f t="shared" si="1"/>
        <v>296.70999999999998</v>
      </c>
      <c r="L27" s="149">
        <v>310</v>
      </c>
      <c r="M27" s="35">
        <f t="shared" si="2"/>
        <v>174.92999999999998</v>
      </c>
    </row>
    <row r="28" spans="1:16" x14ac:dyDescent="0.2">
      <c r="A28" s="125" t="s">
        <v>393</v>
      </c>
      <c r="B28" s="125">
        <v>72.41</v>
      </c>
      <c r="C28" s="148">
        <v>103</v>
      </c>
      <c r="D28" s="151"/>
      <c r="E28" s="125">
        <v>77.19</v>
      </c>
      <c r="F28" s="125"/>
      <c r="G28" s="125">
        <f t="shared" si="3"/>
        <v>4.7800000000000011</v>
      </c>
      <c r="H28" s="151"/>
      <c r="I28" s="125">
        <v>57.08</v>
      </c>
      <c r="J28" s="125">
        <v>22.37</v>
      </c>
      <c r="K28" s="125">
        <f t="shared" si="1"/>
        <v>79.45</v>
      </c>
      <c r="L28" s="148">
        <v>247</v>
      </c>
      <c r="M28" s="125">
        <f t="shared" si="2"/>
        <v>7.0400000000000063</v>
      </c>
      <c r="N28" s="116">
        <f>K28-E28</f>
        <v>2.2600000000000051</v>
      </c>
    </row>
    <row r="29" spans="1:16" x14ac:dyDescent="0.2">
      <c r="A29" s="35" t="s">
        <v>96</v>
      </c>
      <c r="B29" s="35">
        <v>135.57</v>
      </c>
      <c r="C29" s="149">
        <v>684</v>
      </c>
      <c r="D29" s="147"/>
      <c r="E29" s="35"/>
      <c r="F29" s="35"/>
      <c r="G29" s="35">
        <f t="shared" si="3"/>
        <v>-135.57</v>
      </c>
      <c r="H29" s="147"/>
      <c r="I29" s="35">
        <v>94.35</v>
      </c>
      <c r="J29" s="35">
        <v>56.44</v>
      </c>
      <c r="K29" s="125">
        <f t="shared" si="1"/>
        <v>150.79</v>
      </c>
      <c r="L29" s="149">
        <v>725</v>
      </c>
      <c r="M29" s="35">
        <f t="shared" si="2"/>
        <v>15.219999999999999</v>
      </c>
      <c r="P29" s="152"/>
    </row>
    <row r="30" spans="1:16" x14ac:dyDescent="0.2">
      <c r="A30" s="125" t="s">
        <v>394</v>
      </c>
      <c r="B30" s="125">
        <v>70.78</v>
      </c>
      <c r="C30" s="148">
        <v>180</v>
      </c>
      <c r="D30" s="147"/>
      <c r="E30" s="125"/>
      <c r="F30" s="125"/>
      <c r="G30" s="125">
        <f t="shared" si="3"/>
        <v>-70.78</v>
      </c>
      <c r="H30" s="147"/>
      <c r="I30" s="125">
        <v>59.57</v>
      </c>
      <c r="J30" s="125">
        <v>45.02</v>
      </c>
      <c r="K30" s="125">
        <f t="shared" si="1"/>
        <v>104.59</v>
      </c>
      <c r="L30" s="148">
        <v>182</v>
      </c>
      <c r="M30" s="125">
        <f t="shared" si="2"/>
        <v>33.81</v>
      </c>
    </row>
    <row r="31" spans="1:16" x14ac:dyDescent="0.2">
      <c r="A31" s="35" t="s">
        <v>97</v>
      </c>
      <c r="B31" s="35">
        <v>15.53</v>
      </c>
      <c r="C31" s="149">
        <v>12</v>
      </c>
      <c r="D31" s="147"/>
      <c r="E31" s="35"/>
      <c r="F31" s="35"/>
      <c r="G31" s="35">
        <f t="shared" si="3"/>
        <v>-15.53</v>
      </c>
      <c r="H31" s="147"/>
      <c r="I31" s="35">
        <v>22.92</v>
      </c>
      <c r="J31" s="35">
        <v>10.199999999999999</v>
      </c>
      <c r="K31" s="125">
        <f t="shared" si="1"/>
        <v>33.120000000000005</v>
      </c>
      <c r="L31" s="149">
        <v>28</v>
      </c>
      <c r="M31" s="35">
        <f t="shared" si="2"/>
        <v>17.590000000000003</v>
      </c>
    </row>
    <row r="32" spans="1:16" x14ac:dyDescent="0.2">
      <c r="A32" s="125" t="s">
        <v>98</v>
      </c>
      <c r="B32" s="125">
        <v>339.57</v>
      </c>
      <c r="C32" s="148">
        <v>345</v>
      </c>
      <c r="D32" s="147"/>
      <c r="E32" s="125"/>
      <c r="F32" s="125"/>
      <c r="G32" s="125">
        <f t="shared" si="3"/>
        <v>-339.57</v>
      </c>
      <c r="H32" s="147"/>
      <c r="I32" s="125">
        <v>244.07</v>
      </c>
      <c r="J32" s="125">
        <v>189.8</v>
      </c>
      <c r="K32" s="125">
        <f t="shared" si="1"/>
        <v>433.87</v>
      </c>
      <c r="L32" s="148">
        <v>445</v>
      </c>
      <c r="M32" s="125">
        <f t="shared" si="2"/>
        <v>94.300000000000011</v>
      </c>
    </row>
    <row r="33" spans="1:14" x14ac:dyDescent="0.2">
      <c r="A33" s="35" t="s">
        <v>395</v>
      </c>
      <c r="B33" s="35">
        <v>18.7</v>
      </c>
      <c r="C33" s="149">
        <v>77</v>
      </c>
      <c r="D33" s="147"/>
      <c r="E33" s="35"/>
      <c r="F33" s="35"/>
      <c r="G33" s="35">
        <f t="shared" si="3"/>
        <v>-18.7</v>
      </c>
      <c r="H33" s="147"/>
      <c r="I33" s="35">
        <v>15.54</v>
      </c>
      <c r="J33" s="35">
        <v>3.49</v>
      </c>
      <c r="K33" s="125">
        <f t="shared" si="1"/>
        <v>19.03</v>
      </c>
      <c r="L33" s="149">
        <v>78</v>
      </c>
      <c r="M33" s="35">
        <f t="shared" si="2"/>
        <v>0.33000000000000185</v>
      </c>
    </row>
    <row r="34" spans="1:14" x14ac:dyDescent="0.2">
      <c r="A34" s="125" t="s">
        <v>396</v>
      </c>
      <c r="B34" s="125">
        <v>231.56</v>
      </c>
      <c r="C34" s="148">
        <v>515</v>
      </c>
      <c r="D34" s="147"/>
      <c r="E34" s="125"/>
      <c r="F34" s="125"/>
      <c r="G34" s="125">
        <f t="shared" si="3"/>
        <v>-231.56</v>
      </c>
      <c r="H34" s="147"/>
      <c r="I34" s="125">
        <v>191.7</v>
      </c>
      <c r="J34" s="125">
        <v>130.63</v>
      </c>
      <c r="K34" s="125">
        <f t="shared" si="1"/>
        <v>322.33</v>
      </c>
      <c r="L34" s="148">
        <v>712</v>
      </c>
      <c r="M34" s="125">
        <f t="shared" si="2"/>
        <v>90.769999999999982</v>
      </c>
    </row>
    <row r="35" spans="1:14" x14ac:dyDescent="0.2">
      <c r="A35" s="35" t="s">
        <v>99</v>
      </c>
      <c r="B35" s="35">
        <v>94.84</v>
      </c>
      <c r="C35" s="149">
        <v>134</v>
      </c>
      <c r="D35" s="147"/>
      <c r="E35" s="35"/>
      <c r="F35" s="35"/>
      <c r="G35" s="35">
        <f t="shared" si="3"/>
        <v>-94.84</v>
      </c>
      <c r="H35" s="147"/>
      <c r="I35" s="35">
        <v>36.340000000000003</v>
      </c>
      <c r="J35" s="35">
        <v>26.62</v>
      </c>
      <c r="K35" s="125">
        <f t="shared" si="1"/>
        <v>62.960000000000008</v>
      </c>
      <c r="L35" s="149">
        <v>175</v>
      </c>
      <c r="M35" s="35">
        <f t="shared" si="2"/>
        <v>-31.879999999999995</v>
      </c>
    </row>
    <row r="36" spans="1:14" x14ac:dyDescent="0.2">
      <c r="A36" s="125" t="s">
        <v>397</v>
      </c>
      <c r="B36" s="125">
        <v>831.18</v>
      </c>
      <c r="C36" s="148">
        <v>1501</v>
      </c>
      <c r="D36" s="151"/>
      <c r="E36" s="125">
        <v>1055.4100000000001</v>
      </c>
      <c r="F36" s="125"/>
      <c r="G36" s="125">
        <f t="shared" si="3"/>
        <v>224.23000000000013</v>
      </c>
      <c r="H36" s="151"/>
      <c r="I36" s="125">
        <v>623.03</v>
      </c>
      <c r="J36" s="125">
        <v>324.52</v>
      </c>
      <c r="K36" s="125">
        <f t="shared" si="1"/>
        <v>947.55</v>
      </c>
      <c r="L36" s="148">
        <v>1598</v>
      </c>
      <c r="M36" s="125">
        <f>K36-B36</f>
        <v>116.37</v>
      </c>
      <c r="N36" s="116">
        <f>K36-E36</f>
        <v>-107.86000000000013</v>
      </c>
    </row>
    <row r="37" spans="1:14" x14ac:dyDescent="0.2">
      <c r="A37" s="35" t="s">
        <v>398</v>
      </c>
      <c r="B37" s="35">
        <v>349.24</v>
      </c>
      <c r="C37" s="149">
        <v>666</v>
      </c>
      <c r="D37" s="151"/>
      <c r="E37" s="35">
        <v>367.87</v>
      </c>
      <c r="F37" s="35"/>
      <c r="G37" s="35">
        <f t="shared" si="3"/>
        <v>18.629999999999995</v>
      </c>
      <c r="H37" s="151"/>
      <c r="I37" s="35">
        <v>259.39999999999998</v>
      </c>
      <c r="J37" s="35">
        <v>109.53</v>
      </c>
      <c r="K37" s="125">
        <f t="shared" si="1"/>
        <v>368.92999999999995</v>
      </c>
      <c r="L37" s="149">
        <v>890</v>
      </c>
      <c r="M37" s="35">
        <f>K37-B37</f>
        <v>19.689999999999941</v>
      </c>
      <c r="N37" s="116">
        <f>K37-E37</f>
        <v>1.0599999999999454</v>
      </c>
    </row>
    <row r="38" spans="1:14" x14ac:dyDescent="0.2">
      <c r="A38" s="125" t="s">
        <v>399</v>
      </c>
      <c r="B38" s="125">
        <v>95.27</v>
      </c>
      <c r="C38" s="148">
        <v>236</v>
      </c>
      <c r="D38" s="147"/>
      <c r="E38" s="125"/>
      <c r="F38" s="125"/>
      <c r="G38" s="125">
        <f t="shared" si="3"/>
        <v>-95.27</v>
      </c>
      <c r="H38" s="147"/>
      <c r="I38" s="125">
        <v>66.89</v>
      </c>
      <c r="J38" s="125">
        <v>62.01</v>
      </c>
      <c r="K38" s="125">
        <f t="shared" si="1"/>
        <v>128.9</v>
      </c>
      <c r="L38" s="148">
        <v>304</v>
      </c>
      <c r="M38" s="125">
        <f t="shared" si="2"/>
        <v>33.63000000000001</v>
      </c>
    </row>
    <row r="39" spans="1:14" x14ac:dyDescent="0.2">
      <c r="A39" s="153" t="s">
        <v>400</v>
      </c>
      <c r="B39" s="153">
        <v>173.85</v>
      </c>
      <c r="C39" s="154">
        <v>350</v>
      </c>
      <c r="D39" s="155"/>
      <c r="E39" s="153">
        <v>151.1</v>
      </c>
      <c r="F39" s="153"/>
      <c r="G39" s="153">
        <f t="shared" si="3"/>
        <v>-22.75</v>
      </c>
      <c r="H39" s="155"/>
      <c r="I39" s="153">
        <v>136.35</v>
      </c>
      <c r="J39" s="153">
        <v>87.33</v>
      </c>
      <c r="K39" s="125">
        <f t="shared" si="1"/>
        <v>223.68</v>
      </c>
      <c r="L39" s="154">
        <v>475</v>
      </c>
      <c r="M39" s="35">
        <f>K39-B39</f>
        <v>49.830000000000013</v>
      </c>
      <c r="N39" s="116">
        <f>K39-E39</f>
        <v>72.580000000000013</v>
      </c>
    </row>
    <row r="40" spans="1:14" ht="15" x14ac:dyDescent="0.25">
      <c r="A40" s="156" t="s">
        <v>401</v>
      </c>
      <c r="B40" s="156">
        <f>SUM(B6:B39)</f>
        <v>6087.8200000000015</v>
      </c>
      <c r="C40" s="156">
        <f>SUM(C6:C39)</f>
        <v>11520</v>
      </c>
      <c r="D40" s="157"/>
      <c r="E40" s="156">
        <f>SUM(E6:E39)</f>
        <v>2528.44</v>
      </c>
      <c r="F40" s="156"/>
      <c r="G40" s="156"/>
      <c r="H40" s="158"/>
      <c r="I40" s="156">
        <f>SUM(I6:I39)</f>
        <v>4874.1900000000005</v>
      </c>
      <c r="J40" s="156">
        <f>SUM(J6:J39)</f>
        <v>2560.81</v>
      </c>
      <c r="K40" s="156">
        <f>SUM(K6:K39)</f>
        <v>7434.9999999999991</v>
      </c>
      <c r="L40" s="156">
        <f>SUM(L6:L39)</f>
        <v>14556</v>
      </c>
      <c r="M40" s="156">
        <f>SUM(M6:M39)</f>
        <v>1347.1799999999998</v>
      </c>
    </row>
    <row r="42" spans="1:14" x14ac:dyDescent="0.2">
      <c r="A42" s="159" t="s">
        <v>402</v>
      </c>
      <c r="B42" s="35" t="s">
        <v>374</v>
      </c>
      <c r="I42" s="116">
        <v>493.76</v>
      </c>
    </row>
    <row r="43" spans="1:14" x14ac:dyDescent="0.2">
      <c r="A43" s="35" t="s">
        <v>403</v>
      </c>
      <c r="B43" s="35">
        <v>818.37000000000012</v>
      </c>
      <c r="E43" s="116">
        <f>B36*0.15</f>
        <v>124.67699999999999</v>
      </c>
      <c r="I43" s="116">
        <v>179.58</v>
      </c>
    </row>
    <row r="44" spans="1:14" x14ac:dyDescent="0.2">
      <c r="A44" s="35" t="s">
        <v>404</v>
      </c>
      <c r="B44" s="35">
        <v>2918.24</v>
      </c>
    </row>
    <row r="45" spans="1:14" x14ac:dyDescent="0.2">
      <c r="A45" s="35" t="s">
        <v>405</v>
      </c>
      <c r="B45" s="35">
        <v>1867.9299999999998</v>
      </c>
    </row>
    <row r="46" spans="1:14" x14ac:dyDescent="0.2">
      <c r="A46" s="35" t="s">
        <v>406</v>
      </c>
      <c r="B46" s="35">
        <v>429.46</v>
      </c>
    </row>
    <row r="47" spans="1:14" x14ac:dyDescent="0.2">
      <c r="A47" s="35" t="s">
        <v>368</v>
      </c>
      <c r="B47" s="35">
        <f>SUM(B43:B46)</f>
        <v>6033.9999999999991</v>
      </c>
    </row>
    <row r="48" spans="1:14" x14ac:dyDescent="0.2">
      <c r="A48" s="160" t="s">
        <v>407</v>
      </c>
    </row>
    <row r="49" spans="1:1" x14ac:dyDescent="0.2">
      <c r="A49" s="116" t="s">
        <v>408</v>
      </c>
    </row>
    <row r="50" spans="1:1" x14ac:dyDescent="0.2">
      <c r="A50" s="116" t="s">
        <v>409</v>
      </c>
    </row>
    <row r="51" spans="1:1" x14ac:dyDescent="0.2">
      <c r="A51" s="116" t="s">
        <v>410</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4D54FA7534274692FAD04B07428F6A" ma:contentTypeVersion="1" ma:contentTypeDescription="Create a new document." ma:contentTypeScope="" ma:versionID="33025c44a2f54ae046b481e7545c3bbd">
  <xsd:schema xmlns:xsd="http://www.w3.org/2001/XMLSchema" xmlns:xs="http://www.w3.org/2001/XMLSchema" xmlns:p="http://schemas.microsoft.com/office/2006/metadata/properties" xmlns:ns2="75c89918-eb8e-4fbe-aac1-8f62b4adb7fe" targetNamespace="http://schemas.microsoft.com/office/2006/metadata/properties" ma:root="true" ma:fieldsID="b26a2ef752c9cfbed5e9e8bffa219abd" ns2:_="">
    <xsd:import namespace="75c89918-eb8e-4fbe-aac1-8f62b4adb7fe"/>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c89918-eb8e-4fbe-aac1-8f62b4adb7f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C20B59-9220-43B5-B521-C573E19F1447}">
  <ds:schemaRefs>
    <ds:schemaRef ds:uri="http://schemas.microsoft.com/office/2006/documentManagement/types"/>
    <ds:schemaRef ds:uri="http://purl.org/dc/dcmitype/"/>
    <ds:schemaRef ds:uri="http://www.w3.org/XML/1998/namespace"/>
    <ds:schemaRef ds:uri="75c89918-eb8e-4fbe-aac1-8f62b4adb7fe"/>
    <ds:schemaRef ds:uri="http://schemas.microsoft.com/office/infopath/2007/PartnerControls"/>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E76BB5F-941E-4C9A-B4ED-FCEC6C4C1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c89918-eb8e-4fbe-aac1-8f62b4adb7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2B265-7BCE-4613-A9B9-EFD8A256D6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HIDE</vt:lpstr>
      <vt:lpstr>Gov Est-Working Copy</vt:lpstr>
      <vt:lpstr>Road Mileage Discrepancy</vt:lpstr>
      <vt:lpstr>Transport Only Time Estimate</vt:lpstr>
      <vt:lpstr>Transport_LimREC Time Estimator</vt:lpstr>
      <vt:lpstr>Travel Estimator</vt:lpstr>
      <vt:lpstr>District Data</vt:lpstr>
      <vt:lpstr>Final Mile_Lot Count</vt:lpstr>
      <vt:lpstr>Sheet2</vt:lpstr>
      <vt:lpstr>OCA Time Estimator</vt:lpstr>
      <vt:lpstr>'Gov Est-Working Copy'!Print_Area</vt:lpstr>
    </vt:vector>
  </TitlesOfParts>
  <Company>CEIWR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Darrell G. Nolton</dc:creator>
  <cp:lastModifiedBy>DoD_Admin</cp:lastModifiedBy>
  <cp:lastPrinted>2019-03-31T14:05:58Z</cp:lastPrinted>
  <dcterms:created xsi:type="dcterms:W3CDTF">2007-05-17T12:55:41Z</dcterms:created>
  <dcterms:modified xsi:type="dcterms:W3CDTF">2022-08-03T21:26:08Z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0x010100B84D54FA7534274692FAD04B07428F6A</vt:lpwstr>
  </property>
</Properties>
</file>