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480" windowHeight="9975"/>
  </bookViews>
  <sheets>
    <sheet name="BUDGET" sheetId="1" r:id="rId1"/>
    <sheet name="STATISTICS" sheetId="2" r:id="rId2"/>
    <sheet name="REWARDS COST" sheetId="4" r:id="rId3"/>
  </sheets>
  <calcPr calcId="145621" concurrentCalc="0"/>
</workbook>
</file>

<file path=xl/calcChain.xml><?xml version="1.0" encoding="utf-8"?>
<calcChain xmlns="http://schemas.openxmlformats.org/spreadsheetml/2006/main">
  <c r="G91" i="1" l="1"/>
  <c r="F91" i="1"/>
  <c r="E91" i="1"/>
  <c r="G89" i="1"/>
  <c r="F89" i="1"/>
  <c r="E89" i="1"/>
  <c r="E48" i="1"/>
  <c r="F48" i="1"/>
  <c r="J31" i="1"/>
  <c r="H28" i="4"/>
  <c r="H30" i="4"/>
  <c r="H32" i="4"/>
  <c r="H34" i="4"/>
  <c r="F27" i="4"/>
  <c r="H27" i="4"/>
  <c r="F5" i="4"/>
  <c r="H5" i="4"/>
  <c r="F6" i="4"/>
  <c r="H6" i="4"/>
  <c r="F7" i="4"/>
  <c r="H7" i="4"/>
  <c r="F8" i="4"/>
  <c r="H8" i="4"/>
  <c r="F9" i="4"/>
  <c r="H9" i="4"/>
  <c r="F10" i="4"/>
  <c r="H10" i="4"/>
  <c r="F11" i="4"/>
  <c r="H11" i="4"/>
  <c r="F12" i="4"/>
  <c r="H12" i="4"/>
  <c r="F13" i="4"/>
  <c r="H13" i="4"/>
  <c r="F14" i="4"/>
  <c r="H14" i="4"/>
  <c r="F15" i="4"/>
  <c r="H15" i="4"/>
  <c r="F16" i="4"/>
  <c r="H16" i="4"/>
  <c r="F17" i="4"/>
  <c r="H17" i="4"/>
  <c r="F18" i="4"/>
  <c r="H18" i="4"/>
  <c r="F19" i="4"/>
  <c r="H19" i="4"/>
  <c r="F20" i="4"/>
  <c r="H20" i="4"/>
  <c r="F21" i="4"/>
  <c r="H21" i="4"/>
  <c r="F22" i="4"/>
  <c r="H22" i="4"/>
  <c r="F23" i="4"/>
  <c r="H23" i="4"/>
  <c r="F24" i="4"/>
  <c r="H24" i="4"/>
  <c r="F25" i="4"/>
  <c r="H25" i="4"/>
  <c r="F26" i="4"/>
  <c r="H26" i="4"/>
  <c r="F28" i="4"/>
  <c r="F29" i="4"/>
  <c r="H29" i="4"/>
  <c r="F30" i="4"/>
  <c r="F31" i="4"/>
  <c r="H31" i="4"/>
  <c r="F32" i="4"/>
  <c r="F33" i="4"/>
  <c r="H33" i="4"/>
  <c r="F34" i="4"/>
  <c r="F35" i="4"/>
  <c r="H35" i="4"/>
  <c r="F36" i="4"/>
  <c r="H36" i="4"/>
  <c r="F37" i="4"/>
  <c r="H37" i="4"/>
  <c r="F38" i="4"/>
  <c r="H38" i="4"/>
  <c r="F4" i="4"/>
  <c r="H4" i="4"/>
  <c r="H39" i="4"/>
  <c r="I66" i="1"/>
  <c r="E65" i="1"/>
  <c r="F65" i="1"/>
  <c r="H13" i="1"/>
  <c r="H39" i="1"/>
  <c r="G8" i="1"/>
  <c r="H8" i="1"/>
  <c r="E62" i="1"/>
  <c r="F62" i="1"/>
  <c r="J27" i="1"/>
  <c r="J43" i="1"/>
  <c r="F25" i="1"/>
  <c r="G74" i="1"/>
  <c r="G76" i="1"/>
  <c r="G78" i="1"/>
  <c r="E69" i="1"/>
  <c r="H66" i="1"/>
  <c r="H58" i="1"/>
  <c r="H54" i="1"/>
  <c r="H47" i="1"/>
  <c r="H49" i="1"/>
  <c r="H76" i="1"/>
  <c r="H38" i="1"/>
  <c r="H41" i="1"/>
  <c r="J34" i="1"/>
  <c r="H22" i="1"/>
  <c r="H14" i="1"/>
  <c r="H43" i="1"/>
  <c r="H78" i="1"/>
  <c r="F7" i="1"/>
  <c r="E71" i="1"/>
  <c r="F71" i="1"/>
  <c r="E70" i="1"/>
  <c r="F70" i="1"/>
  <c r="E72" i="1"/>
  <c r="F72" i="1"/>
  <c r="E73" i="1"/>
  <c r="F73" i="1"/>
  <c r="E63" i="1"/>
  <c r="F63" i="1"/>
  <c r="E64" i="1"/>
  <c r="F64" i="1"/>
  <c r="E61" i="1"/>
  <c r="E66" i="1"/>
  <c r="E57" i="1"/>
  <c r="F57" i="1"/>
  <c r="E53" i="1"/>
  <c r="F53" i="1"/>
  <c r="E52" i="1"/>
  <c r="F52" i="1"/>
  <c r="E47" i="1"/>
  <c r="E39" i="1"/>
  <c r="F39" i="1"/>
  <c r="E40" i="1"/>
  <c r="F40" i="1"/>
  <c r="E38" i="1"/>
  <c r="E34" i="1"/>
  <c r="F34" i="1"/>
  <c r="E30" i="1"/>
  <c r="E31" i="1"/>
  <c r="F31" i="1"/>
  <c r="F26" i="1"/>
  <c r="E18" i="1"/>
  <c r="F18" i="1"/>
  <c r="E19" i="1"/>
  <c r="F19" i="1"/>
  <c r="E20" i="1"/>
  <c r="F20" i="1"/>
  <c r="E21" i="1"/>
  <c r="F21" i="1"/>
  <c r="E17" i="1"/>
  <c r="F17" i="1"/>
  <c r="E13" i="1"/>
  <c r="E12" i="1"/>
  <c r="F12" i="1"/>
  <c r="E11" i="1"/>
  <c r="F11" i="1"/>
  <c r="E6" i="1"/>
  <c r="F6" i="1"/>
  <c r="I3" i="2"/>
  <c r="I4" i="2"/>
  <c r="I5" i="2"/>
  <c r="I6" i="2"/>
  <c r="I8" i="2"/>
  <c r="I9" i="2"/>
  <c r="I10" i="2"/>
  <c r="I11" i="2"/>
  <c r="I12" i="2"/>
  <c r="I14" i="2"/>
  <c r="I15" i="2"/>
  <c r="I16" i="2"/>
  <c r="I18" i="2"/>
  <c r="I19" i="2"/>
  <c r="I21" i="2"/>
  <c r="I2" i="2"/>
  <c r="H22" i="2"/>
  <c r="F22" i="2"/>
  <c r="E22" i="2"/>
  <c r="D22" i="2"/>
  <c r="C22" i="2"/>
  <c r="G3" i="2"/>
  <c r="G4" i="2"/>
  <c r="G5" i="2"/>
  <c r="G6" i="2"/>
  <c r="G8" i="2"/>
  <c r="G9" i="2"/>
  <c r="G11" i="2"/>
  <c r="G12" i="2"/>
  <c r="G14" i="2"/>
  <c r="G15" i="2"/>
  <c r="G16" i="2"/>
  <c r="G18" i="2"/>
  <c r="G19" i="2"/>
  <c r="G21" i="2"/>
  <c r="G2" i="2"/>
  <c r="G22" i="2"/>
  <c r="E49" i="1"/>
  <c r="F66" i="1"/>
  <c r="F30" i="1"/>
  <c r="E58" i="1"/>
  <c r="F69" i="1"/>
  <c r="E74" i="1"/>
  <c r="E27" i="1"/>
  <c r="F27" i="1"/>
  <c r="E8" i="1"/>
  <c r="F74" i="1"/>
  <c r="E35" i="1"/>
  <c r="F35" i="1"/>
  <c r="E14" i="1"/>
  <c r="F14" i="1"/>
  <c r="E41" i="1"/>
  <c r="F41" i="1"/>
  <c r="F13" i="1"/>
  <c r="F38" i="1"/>
  <c r="F8" i="1"/>
  <c r="E22" i="1"/>
  <c r="E54" i="1"/>
  <c r="F54" i="1"/>
  <c r="F61" i="1"/>
  <c r="F47" i="1"/>
  <c r="I22" i="2"/>
  <c r="E76" i="1"/>
  <c r="F76" i="1"/>
  <c r="F49" i="1"/>
  <c r="F58" i="1"/>
  <c r="F22" i="1"/>
  <c r="E43" i="1"/>
  <c r="E78" i="1"/>
  <c r="F43" i="1"/>
  <c r="F78" i="1"/>
</calcChain>
</file>

<file path=xl/sharedStrings.xml><?xml version="1.0" encoding="utf-8"?>
<sst xmlns="http://schemas.openxmlformats.org/spreadsheetml/2006/main" count="182" uniqueCount="169">
  <si>
    <t>DISTRICT</t>
  </si>
  <si>
    <t>Hospitals</t>
  </si>
  <si>
    <t>HC IV</t>
  </si>
  <si>
    <t>HC III</t>
  </si>
  <si>
    <t>HC II</t>
  </si>
  <si>
    <t>Total No of Facilities</t>
  </si>
  <si>
    <t>REGION</t>
  </si>
  <si>
    <t>Central</t>
  </si>
  <si>
    <t>Bukomansimbi</t>
  </si>
  <si>
    <t>Butambala</t>
  </si>
  <si>
    <t>Buikwe</t>
  </si>
  <si>
    <t>Gomba</t>
  </si>
  <si>
    <t>Kalungu</t>
  </si>
  <si>
    <t>Eastern</t>
  </si>
  <si>
    <t>Bukedea</t>
  </si>
  <si>
    <t>Manafwa</t>
  </si>
  <si>
    <t>Ngora</t>
  </si>
  <si>
    <t>Serere</t>
  </si>
  <si>
    <t>Soroti</t>
  </si>
  <si>
    <t>Northern</t>
  </si>
  <si>
    <t>Abim</t>
  </si>
  <si>
    <t>Kaberamaido</t>
  </si>
  <si>
    <t>Yumbe</t>
  </si>
  <si>
    <t>South Western</t>
  </si>
  <si>
    <t>Lwengo</t>
  </si>
  <si>
    <t>Rakai</t>
  </si>
  <si>
    <t>Western</t>
  </si>
  <si>
    <t>Kiryandongo</t>
  </si>
  <si>
    <t>No of MMS</t>
  </si>
  <si>
    <t>Activity / Service / Equipment Supported</t>
  </si>
  <si>
    <t>No. of items</t>
  </si>
  <si>
    <t>No. of units</t>
  </si>
  <si>
    <t>Unit cost UGX</t>
  </si>
  <si>
    <t>Total cost UGX</t>
  </si>
  <si>
    <t>One off costs</t>
  </si>
  <si>
    <t>MMS Training</t>
  </si>
  <si>
    <t>Budget notes</t>
  </si>
  <si>
    <t>Field work orientation</t>
  </si>
  <si>
    <t>Sub-total</t>
  </si>
  <si>
    <t>Motorcycles</t>
  </si>
  <si>
    <t>Purchase of motocycles</t>
  </si>
  <si>
    <t>Riding Gear (Rain Suit, helmet, riding boots)</t>
  </si>
  <si>
    <t>Computers and printers</t>
  </si>
  <si>
    <t>Laptop</t>
  </si>
  <si>
    <t>Net book</t>
  </si>
  <si>
    <t>Net book training</t>
  </si>
  <si>
    <t xml:space="preserve">Printer </t>
  </si>
  <si>
    <t>Internet Modem</t>
  </si>
  <si>
    <t>Health facility rewards</t>
  </si>
  <si>
    <t>Assorted items ( dispensing trays, wall thermometers, notice boards, measuring cylinder, recording books and others)</t>
  </si>
  <si>
    <t>Shelves for health facility store</t>
  </si>
  <si>
    <t>GPP Accreditation</t>
  </si>
  <si>
    <t>NDA Inspection</t>
  </si>
  <si>
    <t>BUDGET FOR SPARS IMPLEMENTATION - ADDITIONAL SURE DISTRICTS</t>
  </si>
  <si>
    <t>Other Training</t>
  </si>
  <si>
    <t>M and E training</t>
  </si>
  <si>
    <t>Training in Pharmaceutical financial management for DMMS</t>
  </si>
  <si>
    <t>Store keepers training</t>
  </si>
  <si>
    <t>Annual running costs</t>
  </si>
  <si>
    <t>Supervision and Performance Monitoring</t>
  </si>
  <si>
    <r>
      <t>Mileage for support supervision (Approx. 200KM coverage</t>
    </r>
    <r>
      <rPr>
        <sz val="8"/>
        <rFont val="Calibri"/>
        <family val="2"/>
      </rPr>
      <t> </t>
    </r>
    <r>
      <rPr>
        <sz val="11"/>
        <color rgb="FF000000"/>
        <rFont val="Calibri"/>
        <family val="2"/>
      </rPr>
      <t xml:space="preserve"> / Month) </t>
    </r>
  </si>
  <si>
    <t>Logistics tools</t>
  </si>
  <si>
    <t>Stationery (Paper, toner)</t>
  </si>
  <si>
    <t>Communication</t>
  </si>
  <si>
    <t>Internet connectivity</t>
  </si>
  <si>
    <t>Telephone air time (HSD MMS)</t>
  </si>
  <si>
    <t>Telephone air time (D MMS)</t>
  </si>
  <si>
    <t>Staffing</t>
  </si>
  <si>
    <t xml:space="preserve">Supervision transport </t>
  </si>
  <si>
    <t>Total Annual Running Costs</t>
  </si>
  <si>
    <t>Total one off costs</t>
  </si>
  <si>
    <t>GRAND TOTAL</t>
  </si>
  <si>
    <t>APFC salary</t>
  </si>
  <si>
    <t>Assistant Accountant salary</t>
  </si>
  <si>
    <t>Air time</t>
  </si>
  <si>
    <t>No of HSD</t>
  </si>
  <si>
    <t>5 days residential training for 43 MMS</t>
  </si>
  <si>
    <t>43 MMS, each to make 60 supervision visits per year (5 visits per month in 12 months)</t>
  </si>
  <si>
    <t>100 litres of petrol per supervisor per year</t>
  </si>
  <si>
    <t>100,000 UGX per motocycle per quarter</t>
  </si>
  <si>
    <t>Estimated gross monthly income of 2,500,000 UGX</t>
  </si>
  <si>
    <t>Estimated gross monthly income of 3,000,000 UGX</t>
  </si>
  <si>
    <t>40% of gross annual income</t>
  </si>
  <si>
    <t>APFC Benefits (medical insurance and others)</t>
  </si>
  <si>
    <t>Assistant Accountant benefits (Medical insurance and others)</t>
  </si>
  <si>
    <t>Monthly airtime subscription of 150,000 UGX</t>
  </si>
  <si>
    <t>Classroom MMS training</t>
  </si>
  <si>
    <t>Staff cost USD</t>
  </si>
  <si>
    <t>MMS cost USD</t>
  </si>
  <si>
    <t>District cost USD</t>
  </si>
  <si>
    <t>HF cost USD</t>
  </si>
  <si>
    <t xml:space="preserve">Defensive Motorcycle Riding Skill training and license </t>
  </si>
  <si>
    <t>43 Yamaha Motocycle at USD 3300 each</t>
  </si>
  <si>
    <t>2 sets (5 year protective riding gear) for 43 MMS</t>
  </si>
  <si>
    <t>16 DMMS to be trained for 1 week in PFM; Cost based on budget for pilot PFM Training</t>
  </si>
  <si>
    <t>For 27 HSD MMS at USD 500 each</t>
  </si>
  <si>
    <t>Training in basic computer skills; includes Per diem for MMS for 4 days</t>
  </si>
  <si>
    <t>For DMMS office at USD 150 each</t>
  </si>
  <si>
    <t>Purchase of orange internet modem E173s-c</t>
  </si>
  <si>
    <t>Each unit costs 700 USD. Distribution criteria; 1 unit for HC II &amp; HC III, 4 units for HC IV and 8 units for Hospital</t>
  </si>
  <si>
    <t>HC IV and Hospitals store managers trained for 1 week; Based on budget for previous training</t>
  </si>
  <si>
    <t>Safari Day Allowance for support supervision</t>
  </si>
  <si>
    <t>Annual 12GB internet subscrtiption to 43 MMS and 16 DHO</t>
  </si>
  <si>
    <t>Supervision Book</t>
  </si>
  <si>
    <t xml:space="preserve"> Printed stock management materials (Stock cards ,Stock books and Prescription &amp; Dispensing logs, Supervision books, EMHS Manuals, EMHSLU, UCG, Expiries record book, Borrow and lend record book, to all HFs)</t>
  </si>
  <si>
    <t>For 435 HFs. Refer to Reward scheme</t>
  </si>
  <si>
    <t>For 435 facilities. Refer to reward scheme</t>
  </si>
  <si>
    <t>Telephone air time (DHO)</t>
  </si>
  <si>
    <t>30,000 UGX per quarter</t>
  </si>
  <si>
    <t>20,000 UGX per month</t>
  </si>
  <si>
    <t>10,000 UGX per month</t>
  </si>
  <si>
    <t>TOTAL</t>
  </si>
  <si>
    <r>
      <t xml:space="preserve">Total cost USD </t>
    </r>
    <r>
      <rPr>
        <b/>
        <sz val="8"/>
        <color theme="1"/>
        <rFont val="Calibri"/>
        <family val="2"/>
        <scheme val="minor"/>
      </rPr>
      <t>($1=2500UGX)</t>
    </r>
  </si>
  <si>
    <t>16 DMMS and 27 HSD MMS trained for 2 weeks; Includes cost of start up supervision kit</t>
  </si>
  <si>
    <t>MMS on-the-job-training for 5 days by SURE PFC/APFC. Includes SDA for MMS within their districts; accomodation and perdiem for PFC/APFC &amp; driver; fuel (Estimated mileage of 1500km per district orientation at a cost of 3600 UGX per litre)</t>
  </si>
  <si>
    <t>Per diem for inspector, driver; SDA for district official; printing certificates (Fixed contact)</t>
  </si>
  <si>
    <t>Estimated cost for 5 day training for 43 MMS and 16 DHO</t>
  </si>
  <si>
    <t>A057/R31/DISTRIC///</t>
  </si>
  <si>
    <t>DMMS receive I box of 5 reams of paper and 2 catridges semi-annually</t>
  </si>
  <si>
    <t>Maintenance of Motorbike (service and small repairs)</t>
  </si>
  <si>
    <t>For 16 DMMS at USD 1500 each</t>
  </si>
  <si>
    <t>Facilitation for DHO</t>
  </si>
  <si>
    <t>SURE Branded Pens</t>
  </si>
  <si>
    <t>Prescription &amp; Dispensing log</t>
  </si>
  <si>
    <t>Dispensing Envelopes (@ pkt of 100 pcs)</t>
  </si>
  <si>
    <t>EMHS Manual</t>
  </si>
  <si>
    <t>Stock book</t>
  </si>
  <si>
    <t>Blue and Red Pens</t>
  </si>
  <si>
    <t>Notice boards (Branded)</t>
  </si>
  <si>
    <t xml:space="preserve">Ring binder Files </t>
  </si>
  <si>
    <t>EMHS List of Uganda</t>
  </si>
  <si>
    <t>Casio Calculators</t>
  </si>
  <si>
    <t>1'' Masking tape</t>
  </si>
  <si>
    <t>Snowman Markers</t>
  </si>
  <si>
    <t>Record of Expiries Counter book</t>
  </si>
  <si>
    <t>Record of borrow &amp; Lend Counter book</t>
  </si>
  <si>
    <t>Plastic Dispensing bottles</t>
  </si>
  <si>
    <t>Tablet Counting Trays</t>
  </si>
  <si>
    <t>Wall Thermometers</t>
  </si>
  <si>
    <t>Temperature Monitoring book</t>
  </si>
  <si>
    <t>Measuring Cylinders</t>
  </si>
  <si>
    <t>SURE T-Shirts</t>
  </si>
  <si>
    <t>Branded Caps</t>
  </si>
  <si>
    <t>Spidographs</t>
  </si>
  <si>
    <t>Branded Wall Clocks</t>
  </si>
  <si>
    <t>Branded Tumblers</t>
  </si>
  <si>
    <t>Branded Mugs</t>
  </si>
  <si>
    <t>Branded Diaries</t>
  </si>
  <si>
    <t>Sugar (5kg pack)</t>
  </si>
  <si>
    <t>Tea Leaves</t>
  </si>
  <si>
    <t>Washing soap- bar</t>
  </si>
  <si>
    <t>UCG</t>
  </si>
  <si>
    <t>Bucket and Mopping broom</t>
  </si>
  <si>
    <t>Liquid Soap</t>
  </si>
  <si>
    <t>Dozen of Eurosilk Toilet paper</t>
  </si>
  <si>
    <t>Rat Trap</t>
  </si>
  <si>
    <t>REWARD</t>
  </si>
  <si>
    <t>Unit cost</t>
  </si>
  <si>
    <t>Total cost</t>
  </si>
  <si>
    <t>Total Quantity</t>
  </si>
  <si>
    <t>Hospital (n=15)</t>
  </si>
  <si>
    <t>HC IV (n=18)</t>
  </si>
  <si>
    <t>HC III (n=153)</t>
  </si>
  <si>
    <t>HC II (n=249)</t>
  </si>
  <si>
    <t>Quantity per facility</t>
  </si>
  <si>
    <t>Utility rack shelves</t>
  </si>
  <si>
    <t>This excludes costs for regional DHO meetings, QA activities within the region and SURE staff travel costs within the districts</t>
  </si>
  <si>
    <t>MMS Data collection fee</t>
  </si>
  <si>
    <t>50,000 UGX paid to  each MMS per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</si>
</sst>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2" borderId="1" xfId="0" applyFont="1" applyFill="1" applyBorder="1"/>
    <xf numFmtId="0" fontId="0" fillId="0" borderId="0" xfId="0" applyAlignment="1">
      <alignment wrapText="1"/>
    </xf>
    <xf numFmtId="164" fontId="4" fillId="3" borderId="1" xfId="1" applyNumberFormat="1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164" fontId="4" fillId="0" borderId="1" xfId="1" applyNumberFormat="1" applyFont="1" applyBorder="1" applyAlignment="1">
      <alignment horizontal="left" wrapText="1"/>
    </xf>
    <xf numFmtId="164" fontId="4" fillId="0" borderId="1" xfId="1" applyNumberFormat="1" applyFont="1" applyBorder="1" applyAlignment="1">
      <alignment horizontal="left" wrapText="1"/>
    </xf>
    <xf numFmtId="164" fontId="4" fillId="0" borderId="1" xfId="1" applyNumberFormat="1" applyFont="1" applyBorder="1" applyAlignment="1">
      <alignment horizontal="left" wrapText="1"/>
    </xf>
    <xf numFmtId="164" fontId="4" fillId="0" borderId="1" xfId="1" applyNumberFormat="1" applyFont="1" applyBorder="1" applyAlignment="1">
      <alignment horizontal="left" wrapText="1"/>
    </xf>
    <xf numFmtId="164" fontId="4" fillId="0" borderId="1" xfId="1" applyNumberFormat="1" applyFont="1" applyBorder="1" applyAlignment="1">
      <alignment horizontal="left" wrapText="1"/>
    </xf>
    <xf numFmtId="164" fontId="3" fillId="0" borderId="1" xfId="1" applyNumberFormat="1" applyFont="1" applyBorder="1" applyAlignment="1">
      <alignment horizontal="left" wrapText="1"/>
    </xf>
    <xf numFmtId="0" fontId="6" fillId="2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6" borderId="1" xfId="0" applyFont="1" applyFill="1" applyBorder="1" applyAlignment="1">
      <alignment wrapText="1"/>
    </xf>
    <xf numFmtId="0" fontId="6" fillId="0" borderId="0" xfId="0" applyFont="1"/>
    <xf numFmtId="0" fontId="7" fillId="0" borderId="0" xfId="0" applyFont="1"/>
    <xf numFmtId="0" fontId="2" fillId="6" borderId="1" xfId="0" applyFont="1" applyFill="1" applyBorder="1" applyAlignment="1"/>
    <xf numFmtId="0" fontId="6" fillId="4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3" fontId="0" fillId="0" borderId="0" xfId="0" applyNumberFormat="1"/>
    <xf numFmtId="3" fontId="0" fillId="5" borderId="1" xfId="0" applyNumberFormat="1" applyFill="1" applyBorder="1"/>
    <xf numFmtId="3" fontId="0" fillId="6" borderId="1" xfId="0" applyNumberFormat="1" applyFill="1" applyBorder="1"/>
    <xf numFmtId="3" fontId="4" fillId="3" borderId="1" xfId="1" applyNumberFormat="1" applyFont="1" applyFill="1" applyBorder="1" applyAlignment="1">
      <alignment horizontal="right" wrapText="1"/>
    </xf>
    <xf numFmtId="3" fontId="2" fillId="0" borderId="1" xfId="0" applyNumberFormat="1" applyFont="1" applyBorder="1"/>
    <xf numFmtId="3" fontId="2" fillId="6" borderId="1" xfId="0" applyNumberFormat="1" applyFont="1" applyFill="1" applyBorder="1"/>
    <xf numFmtId="3" fontId="4" fillId="0" borderId="1" xfId="1" applyNumberFormat="1" applyFont="1" applyBorder="1" applyAlignment="1">
      <alignment horizontal="right" wrapText="1"/>
    </xf>
    <xf numFmtId="3" fontId="3" fillId="0" borderId="1" xfId="1" applyNumberFormat="1" applyFont="1" applyBorder="1" applyAlignment="1">
      <alignment horizontal="right" wrapText="1"/>
    </xf>
    <xf numFmtId="3" fontId="6" fillId="4" borderId="1" xfId="0" applyNumberFormat="1" applyFont="1" applyFill="1" applyBorder="1"/>
    <xf numFmtId="0" fontId="0" fillId="5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3" fontId="6" fillId="2" borderId="1" xfId="0" applyNumberFormat="1" applyFont="1" applyFill="1" applyBorder="1" applyAlignment="1">
      <alignment wrapText="1"/>
    </xf>
    <xf numFmtId="3" fontId="0" fillId="0" borderId="0" xfId="0" applyNumberFormat="1"/>
    <xf numFmtId="0" fontId="0" fillId="0" borderId="0" xfId="0"/>
    <xf numFmtId="0" fontId="2" fillId="0" borderId="1" xfId="0" applyFont="1" applyBorder="1" applyAlignment="1">
      <alignment horizontal="center"/>
    </xf>
    <xf numFmtId="3" fontId="0" fillId="0" borderId="0" xfId="0" applyNumberFormat="1" applyFont="1"/>
    <xf numFmtId="0" fontId="0" fillId="0" borderId="0" xfId="0"/>
    <xf numFmtId="3" fontId="0" fillId="8" borderId="1" xfId="0" applyNumberFormat="1" applyFill="1" applyBorder="1"/>
    <xf numFmtId="3" fontId="2" fillId="8" borderId="1" xfId="0" applyNumberFormat="1" applyFont="1" applyFill="1" applyBorder="1"/>
    <xf numFmtId="3" fontId="6" fillId="7" borderId="1" xfId="0" applyNumberFormat="1" applyFont="1" applyFill="1" applyBorder="1"/>
    <xf numFmtId="0" fontId="7" fillId="7" borderId="1" xfId="0" applyFont="1" applyFill="1" applyBorder="1" applyAlignment="1">
      <alignment wrapText="1"/>
    </xf>
    <xf numFmtId="3" fontId="7" fillId="7" borderId="1" xfId="0" applyNumberFormat="1" applyFont="1" applyFill="1" applyBorder="1"/>
    <xf numFmtId="0" fontId="6" fillId="5" borderId="3" xfId="0" applyFont="1" applyFill="1" applyBorder="1" applyAlignment="1">
      <alignment wrapText="1"/>
    </xf>
    <xf numFmtId="3" fontId="0" fillId="5" borderId="3" xfId="0" applyNumberFormat="1" applyFill="1" applyBorder="1"/>
    <xf numFmtId="0" fontId="0" fillId="5" borderId="3" xfId="0" applyFill="1" applyBorder="1" applyAlignment="1">
      <alignment wrapText="1"/>
    </xf>
    <xf numFmtId="0" fontId="0" fillId="0" borderId="0" xfId="0" applyBorder="1"/>
    <xf numFmtId="0" fontId="0" fillId="0" borderId="1" xfId="0" applyBorder="1" applyAlignment="1"/>
    <xf numFmtId="3" fontId="0" fillId="0" borderId="1" xfId="0" applyNumberFormat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0" fontId="0" fillId="0" borderId="0" xfId="0" applyAlignment="1"/>
    <xf numFmtId="3" fontId="0" fillId="0" borderId="0" xfId="0" applyNumberFormat="1" applyAlignment="1"/>
    <xf numFmtId="3" fontId="8" fillId="0" borderId="1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/>
    <xf numFmtId="0" fontId="10" fillId="7" borderId="1" xfId="0" applyFont="1" applyFill="1" applyBorder="1" applyAlignment="1">
      <alignment wrapText="1"/>
    </xf>
    <xf numFmtId="3" fontId="0" fillId="0" borderId="7" xfId="0" applyNumberFormat="1" applyBorder="1" applyAlignment="1">
      <alignment horizontal="center" vertical="center" wrapText="1"/>
    </xf>
    <xf numFmtId="3" fontId="11" fillId="0" borderId="0" xfId="0" applyNumberFormat="1" applyFont="1"/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3" fontId="0" fillId="2" borderId="2" xfId="0" applyNumberFormat="1" applyFill="1" applyBorder="1" applyAlignment="1">
      <alignment horizontal="center"/>
    </xf>
    <xf numFmtId="3" fontId="0" fillId="2" borderId="4" xfId="0" applyNumberFormat="1" applyFill="1" applyBorder="1" applyAlignment="1">
      <alignment horizontal="center"/>
    </xf>
    <xf numFmtId="3" fontId="0" fillId="2" borderId="5" xfId="0" applyNumberForma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abSelected="1" topLeftCell="C1" workbookViewId="0">
      <pane ySplit="3" topLeftCell="A79" activePane="bottomLeft" state="frozen"/>
      <selection pane="bottomLeft" activeCell="G92" sqref="G92"/>
    </sheetView>
  </sheetViews>
  <sheetFormatPr defaultRowHeight="15" x14ac:dyDescent="0.25"/>
  <cols>
    <col min="1" max="1" width="31.140625" style="4" customWidth="1"/>
    <col min="2" max="2" width="8" style="24" customWidth="1"/>
    <col min="3" max="3" width="7.42578125" style="24" customWidth="1"/>
    <col min="4" max="4" width="13.42578125" style="24" customWidth="1"/>
    <col min="5" max="5" width="19" style="24" customWidth="1"/>
    <col min="6" max="6" width="13.5703125" style="24" customWidth="1"/>
    <col min="7" max="7" width="10" style="24" customWidth="1"/>
    <col min="8" max="8" width="10.42578125" style="24" customWidth="1"/>
    <col min="9" max="9" width="12.28515625" style="24" customWidth="1"/>
    <col min="10" max="10" width="8.42578125" style="24" customWidth="1"/>
    <col min="11" max="11" width="34.28515625" style="4" customWidth="1"/>
  </cols>
  <sheetData>
    <row r="1" spans="1:11" ht="42.75" customHeight="1" x14ac:dyDescent="0.3">
      <c r="A1" s="61" t="s">
        <v>53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s="40" customFormat="1" ht="22.5" customHeight="1" x14ac:dyDescent="0.25">
      <c r="A2" s="62" t="s">
        <v>117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s="49" customFormat="1" ht="43.5" x14ac:dyDescent="0.25">
      <c r="A3" s="13" t="s">
        <v>29</v>
      </c>
      <c r="B3" s="35" t="s">
        <v>30</v>
      </c>
      <c r="C3" s="35" t="s">
        <v>31</v>
      </c>
      <c r="D3" s="35" t="s">
        <v>32</v>
      </c>
      <c r="E3" s="35" t="s">
        <v>33</v>
      </c>
      <c r="F3" s="35" t="s">
        <v>112</v>
      </c>
      <c r="G3" s="35" t="s">
        <v>87</v>
      </c>
      <c r="H3" s="35" t="s">
        <v>88</v>
      </c>
      <c r="I3" s="35" t="s">
        <v>89</v>
      </c>
      <c r="J3" s="35" t="s">
        <v>90</v>
      </c>
      <c r="K3" s="13" t="s">
        <v>36</v>
      </c>
    </row>
    <row r="4" spans="1:11" ht="15.75" x14ac:dyDescent="0.25">
      <c r="A4" s="46" t="s">
        <v>34</v>
      </c>
      <c r="B4" s="47"/>
      <c r="C4" s="47"/>
      <c r="D4" s="47"/>
      <c r="E4" s="47"/>
      <c r="F4" s="47"/>
      <c r="G4" s="47"/>
      <c r="H4" s="47"/>
      <c r="I4" s="47"/>
      <c r="J4" s="47"/>
      <c r="K4" s="48"/>
    </row>
    <row r="5" spans="1:11" x14ac:dyDescent="0.25">
      <c r="A5" s="17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34"/>
    </row>
    <row r="6" spans="1:11" ht="45" x14ac:dyDescent="0.25">
      <c r="A6" s="6" t="s">
        <v>86</v>
      </c>
      <c r="B6" s="23">
        <v>43</v>
      </c>
      <c r="C6" s="23">
        <v>1</v>
      </c>
      <c r="D6" s="27">
        <v>4000000</v>
      </c>
      <c r="E6" s="23">
        <f>B6*C6*D6</f>
        <v>172000000</v>
      </c>
      <c r="F6" s="23">
        <f>(E6/2500)</f>
        <v>68800</v>
      </c>
      <c r="G6" s="41"/>
      <c r="H6" s="41">
        <v>44657.460800000001</v>
      </c>
      <c r="I6" s="41"/>
      <c r="J6" s="41"/>
      <c r="K6" s="6" t="s">
        <v>113</v>
      </c>
    </row>
    <row r="7" spans="1:11" ht="120" x14ac:dyDescent="0.25">
      <c r="A7" s="5" t="s">
        <v>37</v>
      </c>
      <c r="B7" s="23"/>
      <c r="C7" s="23"/>
      <c r="D7" s="27"/>
      <c r="E7" s="39">
        <v>43724400</v>
      </c>
      <c r="F7" s="23">
        <f t="shared" ref="F7:F72" si="0">(E7/2500)</f>
        <v>17489.759999999998</v>
      </c>
      <c r="G7" s="41">
        <v>16458</v>
      </c>
      <c r="H7" s="41">
        <v>1032</v>
      </c>
      <c r="I7" s="41"/>
      <c r="J7" s="41"/>
      <c r="K7" s="6" t="s">
        <v>114</v>
      </c>
    </row>
    <row r="8" spans="1:11" s="16" customFormat="1" x14ac:dyDescent="0.25">
      <c r="A8" s="15" t="s">
        <v>38</v>
      </c>
      <c r="B8" s="28"/>
      <c r="C8" s="28"/>
      <c r="D8" s="28"/>
      <c r="E8" s="28">
        <f>SUM(E6:E7)</f>
        <v>215724400</v>
      </c>
      <c r="F8" s="28">
        <f t="shared" si="0"/>
        <v>86289.76</v>
      </c>
      <c r="G8" s="42">
        <f>SUM(G6:G7)</f>
        <v>16458</v>
      </c>
      <c r="H8" s="42">
        <f>SUM(H6:H7)</f>
        <v>45689.460800000001</v>
      </c>
      <c r="I8" s="42"/>
      <c r="J8" s="42"/>
      <c r="K8" s="15"/>
    </row>
    <row r="9" spans="1:11" x14ac:dyDescent="0.25">
      <c r="A9" s="6"/>
      <c r="B9" s="23"/>
      <c r="C9" s="23"/>
      <c r="D9" s="23"/>
      <c r="E9" s="23"/>
      <c r="F9" s="23"/>
      <c r="G9" s="41"/>
      <c r="H9" s="41"/>
      <c r="I9" s="41"/>
      <c r="J9" s="41"/>
      <c r="K9" s="6"/>
    </row>
    <row r="10" spans="1:11" s="16" customFormat="1" x14ac:dyDescent="0.25">
      <c r="A10" s="17" t="s">
        <v>39</v>
      </c>
      <c r="B10" s="29"/>
      <c r="C10" s="29"/>
      <c r="D10" s="29"/>
      <c r="E10" s="29"/>
      <c r="F10" s="26"/>
      <c r="G10" s="29"/>
      <c r="H10" s="29"/>
      <c r="I10" s="29"/>
      <c r="J10" s="29"/>
      <c r="K10" s="17"/>
    </row>
    <row r="11" spans="1:11" ht="30" x14ac:dyDescent="0.25">
      <c r="A11" s="6" t="s">
        <v>40</v>
      </c>
      <c r="B11" s="23">
        <v>43</v>
      </c>
      <c r="C11" s="23">
        <v>1</v>
      </c>
      <c r="D11" s="30">
        <v>8250000</v>
      </c>
      <c r="E11" s="23">
        <f>(B11*C11*D11)</f>
        <v>354750000</v>
      </c>
      <c r="F11" s="23">
        <f t="shared" si="0"/>
        <v>141900</v>
      </c>
      <c r="G11" s="41"/>
      <c r="H11" s="41">
        <v>141900</v>
      </c>
      <c r="I11" s="41"/>
      <c r="J11" s="41"/>
      <c r="K11" s="6" t="s">
        <v>92</v>
      </c>
    </row>
    <row r="12" spans="1:11" ht="30" x14ac:dyDescent="0.25">
      <c r="A12" s="11" t="s">
        <v>91</v>
      </c>
      <c r="B12" s="23">
        <v>43</v>
      </c>
      <c r="C12" s="23">
        <v>1</v>
      </c>
      <c r="D12" s="30">
        <v>974000</v>
      </c>
      <c r="E12" s="23">
        <f>(B12*C12*D12)</f>
        <v>41882000</v>
      </c>
      <c r="F12" s="23">
        <f t="shared" si="0"/>
        <v>16752.8</v>
      </c>
      <c r="G12" s="41"/>
      <c r="H12" s="41">
        <v>16752.8</v>
      </c>
      <c r="I12" s="41"/>
      <c r="J12" s="41"/>
      <c r="K12" s="6" t="s">
        <v>76</v>
      </c>
    </row>
    <row r="13" spans="1:11" ht="30" x14ac:dyDescent="0.25">
      <c r="A13" s="7" t="s">
        <v>41</v>
      </c>
      <c r="B13" s="23">
        <v>43</v>
      </c>
      <c r="C13" s="23">
        <v>2</v>
      </c>
      <c r="D13" s="30">
        <v>300000</v>
      </c>
      <c r="E13" s="23">
        <f>(B13*C13*D13)</f>
        <v>25800000</v>
      </c>
      <c r="F13" s="23">
        <f t="shared" si="0"/>
        <v>10320</v>
      </c>
      <c r="G13" s="41"/>
      <c r="H13" s="41">
        <f>((G13/2500))+10320</f>
        <v>10320</v>
      </c>
      <c r="I13" s="41"/>
      <c r="J13" s="41"/>
      <c r="K13" s="6" t="s">
        <v>93</v>
      </c>
    </row>
    <row r="14" spans="1:11" s="16" customFormat="1" x14ac:dyDescent="0.25">
      <c r="A14" s="15" t="s">
        <v>38</v>
      </c>
      <c r="B14" s="28"/>
      <c r="C14" s="28"/>
      <c r="D14" s="28"/>
      <c r="E14" s="28">
        <f>SUM(E11:E13)</f>
        <v>422432000</v>
      </c>
      <c r="F14" s="28">
        <f t="shared" si="0"/>
        <v>168972.79999999999</v>
      </c>
      <c r="G14" s="42"/>
      <c r="H14" s="42">
        <f>SUM(H11:H13)</f>
        <v>168972.79999999999</v>
      </c>
      <c r="I14" s="42"/>
      <c r="J14" s="42"/>
      <c r="K14" s="15"/>
    </row>
    <row r="15" spans="1:11" x14ac:dyDescent="0.25">
      <c r="A15" s="6"/>
      <c r="B15" s="23"/>
      <c r="C15" s="23"/>
      <c r="D15" s="23"/>
      <c r="E15" s="23"/>
      <c r="F15" s="23"/>
      <c r="G15" s="41"/>
      <c r="H15" s="41"/>
      <c r="I15" s="41"/>
      <c r="J15" s="41"/>
      <c r="K15" s="6"/>
    </row>
    <row r="16" spans="1:11" s="16" customFormat="1" x14ac:dyDescent="0.25">
      <c r="A16" s="17" t="s">
        <v>42</v>
      </c>
      <c r="B16" s="29"/>
      <c r="C16" s="29"/>
      <c r="D16" s="29"/>
      <c r="E16" s="29"/>
      <c r="F16" s="26"/>
      <c r="G16" s="29"/>
      <c r="H16" s="29"/>
      <c r="I16" s="29"/>
      <c r="J16" s="29"/>
      <c r="K16" s="17"/>
    </row>
    <row r="17" spans="1:11" x14ac:dyDescent="0.25">
      <c r="A17" s="6" t="s">
        <v>43</v>
      </c>
      <c r="B17" s="23">
        <v>16</v>
      </c>
      <c r="C17" s="23">
        <v>1</v>
      </c>
      <c r="D17" s="30">
        <v>3750000</v>
      </c>
      <c r="E17" s="23">
        <f>(B17*C17*D17)</f>
        <v>60000000</v>
      </c>
      <c r="F17" s="23">
        <f t="shared" si="0"/>
        <v>24000</v>
      </c>
      <c r="G17" s="41"/>
      <c r="H17" s="41">
        <v>16000</v>
      </c>
      <c r="I17" s="41"/>
      <c r="J17" s="41"/>
      <c r="K17" s="6" t="s">
        <v>120</v>
      </c>
    </row>
    <row r="18" spans="1:11" x14ac:dyDescent="0.25">
      <c r="A18" s="6" t="s">
        <v>44</v>
      </c>
      <c r="B18" s="23">
        <v>27</v>
      </c>
      <c r="C18" s="23">
        <v>1</v>
      </c>
      <c r="D18" s="30">
        <v>1250000</v>
      </c>
      <c r="E18" s="23">
        <f t="shared" ref="E18:E21" si="1">(B18*C18*D18)</f>
        <v>33750000</v>
      </c>
      <c r="F18" s="23">
        <f t="shared" si="0"/>
        <v>13500</v>
      </c>
      <c r="G18" s="41"/>
      <c r="H18" s="41">
        <v>13500</v>
      </c>
      <c r="I18" s="41"/>
      <c r="J18" s="41"/>
      <c r="K18" s="6" t="s">
        <v>95</v>
      </c>
    </row>
    <row r="19" spans="1:11" ht="45" x14ac:dyDescent="0.25">
      <c r="A19" s="6" t="s">
        <v>45</v>
      </c>
      <c r="B19" s="23">
        <v>43</v>
      </c>
      <c r="C19" s="23">
        <v>1</v>
      </c>
      <c r="D19" s="30">
        <v>500000</v>
      </c>
      <c r="E19" s="23">
        <f t="shared" si="1"/>
        <v>21500000</v>
      </c>
      <c r="F19" s="23">
        <f t="shared" si="0"/>
        <v>8600</v>
      </c>
      <c r="G19" s="41"/>
      <c r="H19" s="41">
        <v>8600</v>
      </c>
      <c r="I19" s="41"/>
      <c r="J19" s="41"/>
      <c r="K19" s="6" t="s">
        <v>96</v>
      </c>
    </row>
    <row r="20" spans="1:11" x14ac:dyDescent="0.25">
      <c r="A20" s="6" t="s">
        <v>46</v>
      </c>
      <c r="B20" s="23">
        <v>16</v>
      </c>
      <c r="C20" s="23">
        <v>1</v>
      </c>
      <c r="D20" s="30">
        <v>375000</v>
      </c>
      <c r="E20" s="23">
        <f t="shared" si="1"/>
        <v>6000000</v>
      </c>
      <c r="F20" s="23">
        <f t="shared" si="0"/>
        <v>2400</v>
      </c>
      <c r="G20" s="41"/>
      <c r="H20" s="41">
        <v>2400</v>
      </c>
      <c r="I20" s="41"/>
      <c r="J20" s="41"/>
      <c r="K20" s="6" t="s">
        <v>97</v>
      </c>
    </row>
    <row r="21" spans="1:11" ht="30" x14ac:dyDescent="0.25">
      <c r="A21" s="6" t="s">
        <v>47</v>
      </c>
      <c r="B21" s="23">
        <v>43</v>
      </c>
      <c r="C21" s="23">
        <v>1</v>
      </c>
      <c r="D21" s="30">
        <v>99000</v>
      </c>
      <c r="E21" s="23">
        <f t="shared" si="1"/>
        <v>4257000</v>
      </c>
      <c r="F21" s="23">
        <f t="shared" si="0"/>
        <v>1702.8</v>
      </c>
      <c r="G21" s="41"/>
      <c r="H21" s="41">
        <v>1702.8</v>
      </c>
      <c r="I21" s="41"/>
      <c r="J21" s="41"/>
      <c r="K21" s="6" t="s">
        <v>98</v>
      </c>
    </row>
    <row r="22" spans="1:11" s="16" customFormat="1" x14ac:dyDescent="0.25">
      <c r="A22" s="15" t="s">
        <v>38</v>
      </c>
      <c r="B22" s="28"/>
      <c r="C22" s="28"/>
      <c r="D22" s="28"/>
      <c r="E22" s="28">
        <f>SUM(E17:E21)</f>
        <v>125507000</v>
      </c>
      <c r="F22" s="28">
        <f t="shared" si="0"/>
        <v>50202.8</v>
      </c>
      <c r="G22" s="42"/>
      <c r="H22" s="42">
        <f>SUM(H17:H21)</f>
        <v>42202.8</v>
      </c>
      <c r="I22" s="42"/>
      <c r="J22" s="42"/>
      <c r="K22" s="15"/>
    </row>
    <row r="23" spans="1:11" x14ac:dyDescent="0.25">
      <c r="A23" s="6"/>
      <c r="B23" s="23"/>
      <c r="C23" s="23"/>
      <c r="D23" s="23"/>
      <c r="E23" s="23"/>
      <c r="F23" s="23"/>
      <c r="G23" s="41"/>
      <c r="H23" s="41"/>
      <c r="I23" s="41"/>
      <c r="J23" s="41"/>
      <c r="K23" s="6"/>
    </row>
    <row r="24" spans="1:11" s="16" customFormat="1" x14ac:dyDescent="0.25">
      <c r="A24" s="17" t="s">
        <v>48</v>
      </c>
      <c r="B24" s="29"/>
      <c r="C24" s="29"/>
      <c r="D24" s="29"/>
      <c r="E24" s="29"/>
      <c r="F24" s="26"/>
      <c r="G24" s="29"/>
      <c r="H24" s="29"/>
      <c r="I24" s="29"/>
      <c r="J24" s="29"/>
      <c r="K24" s="17"/>
    </row>
    <row r="25" spans="1:11" ht="120" x14ac:dyDescent="0.25">
      <c r="A25" s="11" t="s">
        <v>104</v>
      </c>
      <c r="B25" s="23"/>
      <c r="C25" s="23"/>
      <c r="D25" s="30"/>
      <c r="E25" s="36">
        <v>59562000</v>
      </c>
      <c r="F25" s="23">
        <f>(E25/2500)</f>
        <v>23824.799999999999</v>
      </c>
      <c r="G25" s="41"/>
      <c r="H25" s="41"/>
      <c r="I25" s="41"/>
      <c r="J25" s="41">
        <v>22665.68</v>
      </c>
      <c r="K25" s="6" t="s">
        <v>106</v>
      </c>
    </row>
    <row r="26" spans="1:11" ht="60" x14ac:dyDescent="0.25">
      <c r="A26" s="8" t="s">
        <v>49</v>
      </c>
      <c r="B26" s="23"/>
      <c r="C26" s="23"/>
      <c r="D26" s="30"/>
      <c r="E26" s="39">
        <v>545613000</v>
      </c>
      <c r="F26" s="23">
        <f t="shared" si="0"/>
        <v>218245.2</v>
      </c>
      <c r="G26" s="41"/>
      <c r="H26" s="41"/>
      <c r="I26" s="41"/>
      <c r="J26" s="41">
        <v>168154.2</v>
      </c>
      <c r="K26" s="6" t="s">
        <v>105</v>
      </c>
    </row>
    <row r="27" spans="1:11" s="16" customFormat="1" x14ac:dyDescent="0.25">
      <c r="A27" s="15" t="s">
        <v>38</v>
      </c>
      <c r="B27" s="28"/>
      <c r="C27" s="28"/>
      <c r="D27" s="28"/>
      <c r="E27" s="28">
        <f>SUM(E25:E26)</f>
        <v>605175000</v>
      </c>
      <c r="F27" s="28">
        <f t="shared" si="0"/>
        <v>242070</v>
      </c>
      <c r="G27" s="42"/>
      <c r="H27" s="42"/>
      <c r="I27" s="42"/>
      <c r="J27" s="42">
        <f>SUM(J25:J26)</f>
        <v>190819.88</v>
      </c>
      <c r="K27" s="15"/>
    </row>
    <row r="28" spans="1:11" x14ac:dyDescent="0.25">
      <c r="A28" s="6"/>
      <c r="B28" s="23"/>
      <c r="C28" s="23"/>
      <c r="D28" s="23"/>
      <c r="E28" s="23"/>
      <c r="F28" s="23"/>
      <c r="G28" s="41"/>
      <c r="H28" s="41"/>
      <c r="I28" s="41"/>
      <c r="J28" s="41"/>
      <c r="K28" s="6"/>
    </row>
    <row r="29" spans="1:11" s="16" customFormat="1" x14ac:dyDescent="0.25">
      <c r="A29" s="17" t="s">
        <v>50</v>
      </c>
      <c r="B29" s="29"/>
      <c r="C29" s="29"/>
      <c r="D29" s="29"/>
      <c r="E29" s="29"/>
      <c r="F29" s="26"/>
      <c r="G29" s="29"/>
      <c r="H29" s="29"/>
      <c r="I29" s="29"/>
      <c r="J29" s="29"/>
      <c r="K29" s="17"/>
    </row>
    <row r="30" spans="1:11" ht="60" x14ac:dyDescent="0.25">
      <c r="A30" s="6" t="s">
        <v>165</v>
      </c>
      <c r="B30" s="23">
        <v>1</v>
      </c>
      <c r="C30" s="23">
        <v>747</v>
      </c>
      <c r="D30" s="30">
        <v>1750000</v>
      </c>
      <c r="E30" s="23">
        <f>(B30*C30*D30)</f>
        <v>1307250000</v>
      </c>
      <c r="F30" s="23">
        <f>(E30/2500)</f>
        <v>522900</v>
      </c>
      <c r="G30" s="41"/>
      <c r="H30" s="41"/>
      <c r="I30" s="41"/>
      <c r="J30" s="41">
        <v>522900</v>
      </c>
      <c r="K30" s="6" t="s">
        <v>99</v>
      </c>
    </row>
    <row r="31" spans="1:11" s="16" customFormat="1" x14ac:dyDescent="0.25">
      <c r="A31" s="15" t="s">
        <v>38</v>
      </c>
      <c r="B31" s="28"/>
      <c r="C31" s="28"/>
      <c r="D31" s="28"/>
      <c r="E31" s="28">
        <f>SUM(E30)</f>
        <v>1307250000</v>
      </c>
      <c r="F31" s="28">
        <f t="shared" si="0"/>
        <v>522900</v>
      </c>
      <c r="G31" s="42"/>
      <c r="H31" s="42"/>
      <c r="I31" s="42"/>
      <c r="J31" s="42">
        <f>SUM(J30)</f>
        <v>522900</v>
      </c>
      <c r="K31" s="15"/>
    </row>
    <row r="32" spans="1:11" x14ac:dyDescent="0.25">
      <c r="A32" s="6"/>
      <c r="B32" s="23"/>
      <c r="C32" s="23"/>
      <c r="D32" s="23"/>
      <c r="E32" s="23"/>
      <c r="F32" s="23"/>
      <c r="G32" s="41"/>
      <c r="H32" s="41"/>
      <c r="I32" s="41"/>
      <c r="J32" s="41"/>
      <c r="K32" s="6"/>
    </row>
    <row r="33" spans="1:11" s="16" customFormat="1" x14ac:dyDescent="0.25">
      <c r="A33" s="17" t="s">
        <v>51</v>
      </c>
      <c r="B33" s="29"/>
      <c r="C33" s="29"/>
      <c r="D33" s="29"/>
      <c r="E33" s="29"/>
      <c r="F33" s="26"/>
      <c r="G33" s="29"/>
      <c r="H33" s="29"/>
      <c r="I33" s="29"/>
      <c r="J33" s="29"/>
      <c r="K33" s="17"/>
    </row>
    <row r="34" spans="1:11" ht="45" x14ac:dyDescent="0.25">
      <c r="A34" s="6" t="s">
        <v>52</v>
      </c>
      <c r="B34" s="23">
        <v>1</v>
      </c>
      <c r="C34" s="23">
        <v>435</v>
      </c>
      <c r="D34" s="30">
        <v>163500</v>
      </c>
      <c r="E34" s="23">
        <f>(B34*C34*D34)</f>
        <v>71122500</v>
      </c>
      <c r="F34" s="23">
        <f t="shared" si="0"/>
        <v>28449</v>
      </c>
      <c r="G34" s="41"/>
      <c r="H34" s="41"/>
      <c r="I34" s="41"/>
      <c r="J34" s="41">
        <f>((I34/2500))+28449</f>
        <v>28449</v>
      </c>
      <c r="K34" s="6" t="s">
        <v>115</v>
      </c>
    </row>
    <row r="35" spans="1:11" s="16" customFormat="1" x14ac:dyDescent="0.25">
      <c r="A35" s="15" t="s">
        <v>38</v>
      </c>
      <c r="B35" s="28"/>
      <c r="C35" s="28"/>
      <c r="D35" s="31"/>
      <c r="E35" s="28">
        <f>SUM(E34)</f>
        <v>71122500</v>
      </c>
      <c r="F35" s="28">
        <f t="shared" si="0"/>
        <v>28449</v>
      </c>
      <c r="G35" s="42"/>
      <c r="H35" s="42"/>
      <c r="I35" s="42"/>
      <c r="J35" s="42">
        <v>28449</v>
      </c>
      <c r="K35" s="15"/>
    </row>
    <row r="36" spans="1:11" x14ac:dyDescent="0.25">
      <c r="A36" s="6"/>
      <c r="B36" s="23"/>
      <c r="C36" s="23"/>
      <c r="D36" s="23"/>
      <c r="E36" s="23"/>
      <c r="F36" s="23"/>
      <c r="G36" s="41"/>
      <c r="H36" s="41"/>
      <c r="I36" s="41"/>
      <c r="J36" s="41"/>
      <c r="K36" s="6"/>
    </row>
    <row r="37" spans="1:11" s="16" customFormat="1" x14ac:dyDescent="0.25">
      <c r="A37" s="17" t="s">
        <v>54</v>
      </c>
      <c r="B37" s="29"/>
      <c r="C37" s="29"/>
      <c r="D37" s="29"/>
      <c r="E37" s="29"/>
      <c r="F37" s="26"/>
      <c r="G37" s="29"/>
      <c r="H37" s="29"/>
      <c r="I37" s="29"/>
      <c r="J37" s="29"/>
      <c r="K37" s="17"/>
    </row>
    <row r="38" spans="1:11" ht="45" x14ac:dyDescent="0.25">
      <c r="A38" s="9" t="s">
        <v>57</v>
      </c>
      <c r="B38" s="23">
        <v>33</v>
      </c>
      <c r="C38" s="23">
        <v>1</v>
      </c>
      <c r="D38" s="30">
        <v>1800000</v>
      </c>
      <c r="E38" s="23">
        <f>(B38*C38*D38)</f>
        <v>59400000</v>
      </c>
      <c r="F38" s="23">
        <f t="shared" si="0"/>
        <v>23760</v>
      </c>
      <c r="G38" s="41"/>
      <c r="H38" s="41">
        <f>((G38/2500))+23760</f>
        <v>23760</v>
      </c>
      <c r="I38" s="41"/>
      <c r="J38" s="41"/>
      <c r="K38" s="6" t="s">
        <v>100</v>
      </c>
    </row>
    <row r="39" spans="1:11" ht="30" x14ac:dyDescent="0.25">
      <c r="A39" s="9" t="s">
        <v>55</v>
      </c>
      <c r="B39" s="23">
        <v>59</v>
      </c>
      <c r="C39" s="23">
        <v>1</v>
      </c>
      <c r="D39" s="30">
        <v>2000000</v>
      </c>
      <c r="E39" s="23">
        <f t="shared" ref="E39:E40" si="2">(B39*C39*D39)</f>
        <v>118000000</v>
      </c>
      <c r="F39" s="23">
        <f t="shared" si="0"/>
        <v>47200</v>
      </c>
      <c r="G39" s="41"/>
      <c r="H39" s="41">
        <f>((G39/2500))+47200</f>
        <v>47200</v>
      </c>
      <c r="I39" s="41"/>
      <c r="J39" s="41"/>
      <c r="K39" s="6" t="s">
        <v>116</v>
      </c>
    </row>
    <row r="40" spans="1:11" ht="45" x14ac:dyDescent="0.25">
      <c r="A40" s="9" t="s">
        <v>56</v>
      </c>
      <c r="B40" s="23">
        <v>16</v>
      </c>
      <c r="C40" s="23">
        <v>1</v>
      </c>
      <c r="D40" s="30">
        <v>2300000</v>
      </c>
      <c r="E40" s="23">
        <f t="shared" si="2"/>
        <v>36800000</v>
      </c>
      <c r="F40" s="23">
        <f t="shared" si="0"/>
        <v>14720</v>
      </c>
      <c r="G40" s="41"/>
      <c r="H40" s="41">
        <v>14720</v>
      </c>
      <c r="I40" s="41"/>
      <c r="J40" s="41"/>
      <c r="K40" s="6" t="s">
        <v>94</v>
      </c>
    </row>
    <row r="41" spans="1:11" s="16" customFormat="1" x14ac:dyDescent="0.25">
      <c r="A41" s="12" t="s">
        <v>38</v>
      </c>
      <c r="B41" s="28"/>
      <c r="C41" s="28"/>
      <c r="D41" s="31"/>
      <c r="E41" s="28">
        <f>SUM(E38:E40)</f>
        <v>214200000</v>
      </c>
      <c r="F41" s="28">
        <f>(E41/2500)</f>
        <v>85680</v>
      </c>
      <c r="G41" s="42"/>
      <c r="H41" s="42">
        <f>SUM(H38:H40)</f>
        <v>85680</v>
      </c>
      <c r="I41" s="42"/>
      <c r="J41" s="42"/>
      <c r="K41" s="15"/>
    </row>
    <row r="42" spans="1:11" x14ac:dyDescent="0.25">
      <c r="A42" s="6"/>
      <c r="B42" s="23"/>
      <c r="C42" s="23"/>
      <c r="D42" s="23"/>
      <c r="E42" s="23"/>
      <c r="F42" s="23"/>
      <c r="G42" s="41"/>
      <c r="H42" s="41"/>
      <c r="I42" s="41"/>
      <c r="J42" s="41"/>
      <c r="K42" s="6"/>
    </row>
    <row r="43" spans="1:11" s="18" customFormat="1" ht="15.75" x14ac:dyDescent="0.25">
      <c r="A43" s="21" t="s">
        <v>70</v>
      </c>
      <c r="B43" s="32"/>
      <c r="C43" s="32"/>
      <c r="D43" s="32"/>
      <c r="E43" s="32">
        <f>SUM(E8,E14,E22,E27,E31,E35,E41)</f>
        <v>2961410900</v>
      </c>
      <c r="F43" s="32">
        <f>E43/2500</f>
        <v>1184564.3600000001</v>
      </c>
      <c r="G43" s="32">
        <v>16458</v>
      </c>
      <c r="H43" s="32">
        <f>SUM(H8,H14,H22,H41)</f>
        <v>342545.06079999998</v>
      </c>
      <c r="I43" s="32"/>
      <c r="J43" s="32">
        <f>SUM(J27,J31,J35)</f>
        <v>742168.88</v>
      </c>
      <c r="K43" s="21"/>
    </row>
    <row r="44" spans="1:11" x14ac:dyDescent="0.25">
      <c r="A44" s="6"/>
      <c r="B44" s="23"/>
      <c r="C44" s="23"/>
      <c r="D44" s="23"/>
      <c r="E44" s="23"/>
      <c r="F44" s="23"/>
      <c r="G44" s="23"/>
      <c r="H44" s="23"/>
      <c r="I44" s="23"/>
      <c r="J44" s="23"/>
      <c r="K44" s="6"/>
    </row>
    <row r="45" spans="1:11" ht="15.75" x14ac:dyDescent="0.25">
      <c r="A45" s="14" t="s">
        <v>58</v>
      </c>
      <c r="B45" s="25"/>
      <c r="C45" s="25"/>
      <c r="D45" s="25"/>
      <c r="E45" s="25"/>
      <c r="F45" s="25"/>
      <c r="G45" s="25"/>
      <c r="H45" s="25"/>
      <c r="I45" s="25"/>
      <c r="J45" s="25"/>
      <c r="K45" s="33"/>
    </row>
    <row r="46" spans="1:11" s="16" customFormat="1" x14ac:dyDescent="0.25">
      <c r="A46" s="20" t="s">
        <v>59</v>
      </c>
      <c r="B46" s="29"/>
      <c r="C46" s="29"/>
      <c r="D46" s="29"/>
      <c r="E46" s="29"/>
      <c r="F46" s="26"/>
      <c r="G46" s="29"/>
      <c r="H46" s="29"/>
      <c r="I46" s="29"/>
      <c r="J46" s="29"/>
      <c r="K46" s="17"/>
    </row>
    <row r="47" spans="1:11" ht="45" x14ac:dyDescent="0.25">
      <c r="A47" s="11" t="s">
        <v>101</v>
      </c>
      <c r="B47" s="23">
        <v>43</v>
      </c>
      <c r="C47" s="23">
        <v>60</v>
      </c>
      <c r="D47" s="30">
        <v>12000</v>
      </c>
      <c r="E47" s="23">
        <f>(B47*C47*D47)</f>
        <v>30960000</v>
      </c>
      <c r="F47" s="23">
        <f t="shared" si="0"/>
        <v>12384</v>
      </c>
      <c r="G47" s="41"/>
      <c r="H47" s="41">
        <f>((G47/2500))+12384</f>
        <v>12384</v>
      </c>
      <c r="I47" s="41"/>
      <c r="J47" s="41"/>
      <c r="K47" s="6" t="s">
        <v>77</v>
      </c>
    </row>
    <row r="48" spans="1:11" s="40" customFormat="1" ht="30" x14ac:dyDescent="0.25">
      <c r="A48" s="11" t="s">
        <v>167</v>
      </c>
      <c r="B48" s="23">
        <v>43</v>
      </c>
      <c r="C48" s="23">
        <v>4</v>
      </c>
      <c r="D48" s="30">
        <v>50000</v>
      </c>
      <c r="E48" s="23">
        <f>(B48*C48*D48)</f>
        <v>8600000</v>
      </c>
      <c r="F48" s="23">
        <f t="shared" si="0"/>
        <v>3440</v>
      </c>
      <c r="G48" s="41"/>
      <c r="H48" s="41">
        <v>3440</v>
      </c>
      <c r="I48" s="41"/>
      <c r="J48" s="41"/>
      <c r="K48" s="6" t="s">
        <v>168</v>
      </c>
    </row>
    <row r="49" spans="1:11" s="16" customFormat="1" x14ac:dyDescent="0.25">
      <c r="A49" s="15" t="s">
        <v>38</v>
      </c>
      <c r="B49" s="28"/>
      <c r="C49" s="28"/>
      <c r="D49" s="28"/>
      <c r="E49" s="28">
        <f>SUM(E47:E48)</f>
        <v>39560000</v>
      </c>
      <c r="F49" s="28">
        <f t="shared" si="0"/>
        <v>15824</v>
      </c>
      <c r="G49" s="42"/>
      <c r="H49" s="42">
        <f>SUM(H47:H48)</f>
        <v>15824</v>
      </c>
      <c r="I49" s="42"/>
      <c r="J49" s="42"/>
      <c r="K49" s="15"/>
    </row>
    <row r="50" spans="1:11" x14ac:dyDescent="0.25">
      <c r="A50" s="6"/>
      <c r="B50" s="23"/>
      <c r="C50" s="23"/>
      <c r="D50" s="23"/>
      <c r="E50" s="23"/>
      <c r="F50" s="23"/>
      <c r="G50" s="41"/>
      <c r="H50" s="41"/>
      <c r="I50" s="41"/>
      <c r="J50" s="41"/>
      <c r="K50" s="6"/>
    </row>
    <row r="51" spans="1:11" s="16" customFormat="1" x14ac:dyDescent="0.25">
      <c r="A51" s="20" t="s">
        <v>68</v>
      </c>
      <c r="B51" s="29"/>
      <c r="C51" s="29"/>
      <c r="D51" s="29"/>
      <c r="E51" s="29"/>
      <c r="F51" s="26"/>
      <c r="G51" s="29"/>
      <c r="H51" s="29"/>
      <c r="I51" s="29"/>
      <c r="J51" s="29"/>
      <c r="K51" s="17"/>
    </row>
    <row r="52" spans="1:11" ht="45" x14ac:dyDescent="0.25">
      <c r="A52" s="10" t="s">
        <v>60</v>
      </c>
      <c r="B52" s="23">
        <v>43</v>
      </c>
      <c r="C52" s="23">
        <v>100</v>
      </c>
      <c r="D52" s="30">
        <v>3800</v>
      </c>
      <c r="E52" s="23">
        <f>(B52*C52*D52)</f>
        <v>16340000</v>
      </c>
      <c r="F52" s="23">
        <f t="shared" si="0"/>
        <v>6536</v>
      </c>
      <c r="G52" s="41"/>
      <c r="H52" s="41">
        <v>6536</v>
      </c>
      <c r="I52" s="41"/>
      <c r="J52" s="41"/>
      <c r="K52" s="6" t="s">
        <v>78</v>
      </c>
    </row>
    <row r="53" spans="1:11" ht="30" x14ac:dyDescent="0.25">
      <c r="A53" s="11" t="s">
        <v>119</v>
      </c>
      <c r="B53" s="23">
        <v>43</v>
      </c>
      <c r="C53" s="23">
        <v>4</v>
      </c>
      <c r="D53" s="30">
        <v>100000</v>
      </c>
      <c r="E53" s="23">
        <f>(B53*C53*D53)</f>
        <v>17200000</v>
      </c>
      <c r="F53" s="23">
        <f t="shared" si="0"/>
        <v>6880</v>
      </c>
      <c r="G53" s="41"/>
      <c r="H53" s="41">
        <v>6880</v>
      </c>
      <c r="I53" s="41"/>
      <c r="J53" s="41"/>
      <c r="K53" s="6" t="s">
        <v>79</v>
      </c>
    </row>
    <row r="54" spans="1:11" s="16" customFormat="1" x14ac:dyDescent="0.25">
      <c r="A54" s="12" t="s">
        <v>38</v>
      </c>
      <c r="B54" s="28"/>
      <c r="C54" s="28"/>
      <c r="D54" s="28"/>
      <c r="E54" s="28">
        <f>SUM(E52:E53)</f>
        <v>33540000</v>
      </c>
      <c r="F54" s="28">
        <f t="shared" si="0"/>
        <v>13416</v>
      </c>
      <c r="G54" s="42"/>
      <c r="H54" s="42">
        <f>SUM(H52:H53)</f>
        <v>13416</v>
      </c>
      <c r="I54" s="42"/>
      <c r="J54" s="42"/>
      <c r="K54" s="15"/>
    </row>
    <row r="55" spans="1:11" x14ac:dyDescent="0.25">
      <c r="A55" s="6"/>
      <c r="B55" s="23"/>
      <c r="C55" s="23"/>
      <c r="D55" s="23"/>
      <c r="E55" s="23"/>
      <c r="F55" s="23"/>
      <c r="G55" s="41"/>
      <c r="H55" s="41"/>
      <c r="I55" s="41"/>
      <c r="J55" s="41"/>
      <c r="K55" s="6"/>
    </row>
    <row r="56" spans="1:11" s="16" customFormat="1" x14ac:dyDescent="0.25">
      <c r="A56" s="17" t="s">
        <v>61</v>
      </c>
      <c r="B56" s="29"/>
      <c r="C56" s="29"/>
      <c r="D56" s="29"/>
      <c r="E56" s="29"/>
      <c r="F56" s="26"/>
      <c r="G56" s="29"/>
      <c r="H56" s="29"/>
      <c r="I56" s="29"/>
      <c r="J56" s="29"/>
      <c r="K56" s="17"/>
    </row>
    <row r="57" spans="1:11" ht="30" x14ac:dyDescent="0.25">
      <c r="A57" s="11" t="s">
        <v>62</v>
      </c>
      <c r="B57" s="23">
        <v>16</v>
      </c>
      <c r="C57" s="23">
        <v>2</v>
      </c>
      <c r="D57" s="30">
        <v>287500</v>
      </c>
      <c r="E57" s="23">
        <f>(B57*C57*D57)</f>
        <v>9200000</v>
      </c>
      <c r="F57" s="23">
        <f t="shared" si="0"/>
        <v>3680</v>
      </c>
      <c r="G57" s="41"/>
      <c r="H57" s="41">
        <v>12800</v>
      </c>
      <c r="I57" s="41"/>
      <c r="J57" s="41"/>
      <c r="K57" s="6" t="s">
        <v>118</v>
      </c>
    </row>
    <row r="58" spans="1:11" s="16" customFormat="1" x14ac:dyDescent="0.25">
      <c r="A58" s="12" t="s">
        <v>38</v>
      </c>
      <c r="B58" s="28"/>
      <c r="C58" s="28"/>
      <c r="D58" s="28"/>
      <c r="E58" s="28">
        <f>SUM(E57)</f>
        <v>9200000</v>
      </c>
      <c r="F58" s="28">
        <f t="shared" si="0"/>
        <v>3680</v>
      </c>
      <c r="G58" s="42"/>
      <c r="H58" s="42">
        <f>SUM(H57)</f>
        <v>12800</v>
      </c>
      <c r="I58" s="42"/>
      <c r="J58" s="42"/>
      <c r="K58" s="15"/>
    </row>
    <row r="59" spans="1:11" x14ac:dyDescent="0.25">
      <c r="A59" s="6"/>
      <c r="B59" s="23"/>
      <c r="C59" s="23"/>
      <c r="D59" s="23"/>
      <c r="E59" s="23"/>
      <c r="F59" s="23"/>
      <c r="G59" s="41"/>
      <c r="H59" s="41"/>
      <c r="I59" s="41"/>
      <c r="J59" s="41"/>
      <c r="K59" s="6"/>
    </row>
    <row r="60" spans="1:11" s="16" customFormat="1" x14ac:dyDescent="0.25">
      <c r="A60" s="17" t="s">
        <v>63</v>
      </c>
      <c r="B60" s="29"/>
      <c r="C60" s="29"/>
      <c r="D60" s="29"/>
      <c r="E60" s="29"/>
      <c r="F60" s="26"/>
      <c r="G60" s="29"/>
      <c r="H60" s="29"/>
      <c r="I60" s="29"/>
      <c r="J60" s="29"/>
      <c r="K60" s="17"/>
    </row>
    <row r="61" spans="1:11" ht="30" x14ac:dyDescent="0.25">
      <c r="A61" s="6" t="s">
        <v>64</v>
      </c>
      <c r="B61" s="23">
        <v>59</v>
      </c>
      <c r="C61" s="23">
        <v>1</v>
      </c>
      <c r="D61" s="30">
        <v>500000</v>
      </c>
      <c r="E61" s="23">
        <f>(B61*C61*D61)</f>
        <v>29500000</v>
      </c>
      <c r="F61" s="23">
        <f t="shared" si="0"/>
        <v>11800</v>
      </c>
      <c r="G61" s="41"/>
      <c r="H61" s="41">
        <v>8600</v>
      </c>
      <c r="I61" s="41">
        <v>3200</v>
      </c>
      <c r="J61" s="41"/>
      <c r="K61" s="6" t="s">
        <v>102</v>
      </c>
    </row>
    <row r="62" spans="1:11" s="37" customFormat="1" x14ac:dyDescent="0.25">
      <c r="A62" s="6" t="s">
        <v>107</v>
      </c>
      <c r="B62" s="23">
        <v>16</v>
      </c>
      <c r="C62" s="23">
        <v>4</v>
      </c>
      <c r="D62" s="30">
        <v>30000</v>
      </c>
      <c r="E62" s="23">
        <f>(B62*C62*D62)</f>
        <v>1920000</v>
      </c>
      <c r="F62" s="23">
        <f t="shared" si="0"/>
        <v>768</v>
      </c>
      <c r="G62" s="41"/>
      <c r="H62" s="41"/>
      <c r="I62" s="41">
        <v>768</v>
      </c>
      <c r="J62" s="41"/>
      <c r="K62" s="6" t="s">
        <v>108</v>
      </c>
    </row>
    <row r="63" spans="1:11" x14ac:dyDescent="0.25">
      <c r="A63" s="6" t="s">
        <v>66</v>
      </c>
      <c r="B63" s="23">
        <v>16</v>
      </c>
      <c r="C63" s="23">
        <v>12</v>
      </c>
      <c r="D63" s="30">
        <v>20000</v>
      </c>
      <c r="E63" s="23">
        <f t="shared" ref="E63:E65" si="3">(B63*C63*D63)</f>
        <v>3840000</v>
      </c>
      <c r="F63" s="23">
        <f t="shared" si="0"/>
        <v>1536</v>
      </c>
      <c r="G63" s="41"/>
      <c r="H63" s="41">
        <v>1536</v>
      </c>
      <c r="I63" s="41"/>
      <c r="J63" s="41"/>
      <c r="K63" s="6" t="s">
        <v>109</v>
      </c>
    </row>
    <row r="64" spans="1:11" x14ac:dyDescent="0.25">
      <c r="A64" s="6" t="s">
        <v>65</v>
      </c>
      <c r="B64" s="23">
        <v>27</v>
      </c>
      <c r="C64" s="23">
        <v>12</v>
      </c>
      <c r="D64" s="30">
        <v>10000</v>
      </c>
      <c r="E64" s="23">
        <f t="shared" si="3"/>
        <v>3240000</v>
      </c>
      <c r="F64" s="23">
        <f t="shared" si="0"/>
        <v>1296</v>
      </c>
      <c r="G64" s="41"/>
      <c r="H64" s="41">
        <v>1296</v>
      </c>
      <c r="I64" s="41"/>
      <c r="J64" s="41"/>
      <c r="K64" s="6" t="s">
        <v>110</v>
      </c>
    </row>
    <row r="65" spans="1:11" s="40" customFormat="1" x14ac:dyDescent="0.25">
      <c r="A65" s="6" t="s">
        <v>121</v>
      </c>
      <c r="B65" s="23">
        <v>16</v>
      </c>
      <c r="C65" s="23">
        <v>4</v>
      </c>
      <c r="D65" s="30">
        <v>50000</v>
      </c>
      <c r="E65" s="23">
        <f t="shared" si="3"/>
        <v>3200000</v>
      </c>
      <c r="F65" s="23">
        <f t="shared" si="0"/>
        <v>1280</v>
      </c>
      <c r="G65" s="41"/>
      <c r="H65" s="41"/>
      <c r="I65" s="41">
        <v>1280</v>
      </c>
      <c r="J65" s="41"/>
      <c r="K65" s="6"/>
    </row>
    <row r="66" spans="1:11" s="16" customFormat="1" x14ac:dyDescent="0.25">
      <c r="A66" s="15" t="s">
        <v>38</v>
      </c>
      <c r="B66" s="28"/>
      <c r="C66" s="28"/>
      <c r="D66" s="28"/>
      <c r="E66" s="28">
        <f>SUM(E61:E65)</f>
        <v>41700000</v>
      </c>
      <c r="F66" s="28">
        <f t="shared" si="0"/>
        <v>16680</v>
      </c>
      <c r="G66" s="42"/>
      <c r="H66" s="42">
        <f>SUM(H61:H64)</f>
        <v>11432</v>
      </c>
      <c r="I66" s="42">
        <f>SUM(I61:I65)</f>
        <v>5248</v>
      </c>
      <c r="J66" s="42"/>
      <c r="K66" s="15"/>
    </row>
    <row r="67" spans="1:11" x14ac:dyDescent="0.25">
      <c r="A67" s="6"/>
      <c r="B67" s="23"/>
      <c r="C67" s="23"/>
      <c r="D67" s="23"/>
      <c r="E67" s="23"/>
      <c r="F67" s="23"/>
      <c r="G67" s="41"/>
      <c r="H67" s="41"/>
      <c r="I67" s="41"/>
      <c r="J67" s="41"/>
      <c r="K67" s="6"/>
    </row>
    <row r="68" spans="1:11" x14ac:dyDescent="0.25">
      <c r="A68" s="17" t="s">
        <v>67</v>
      </c>
      <c r="B68" s="29"/>
      <c r="C68" s="29"/>
      <c r="D68" s="29"/>
      <c r="E68" s="29"/>
      <c r="F68" s="26"/>
      <c r="G68" s="29"/>
      <c r="H68" s="29"/>
      <c r="I68" s="29"/>
      <c r="J68" s="29"/>
      <c r="K68" s="17"/>
    </row>
    <row r="69" spans="1:11" ht="30" x14ac:dyDescent="0.25">
      <c r="A69" s="6" t="s">
        <v>72</v>
      </c>
      <c r="B69" s="23">
        <v>2</v>
      </c>
      <c r="C69" s="23">
        <v>12</v>
      </c>
      <c r="D69" s="23">
        <v>3000000</v>
      </c>
      <c r="E69" s="23">
        <f>(B69*C69*D69)</f>
        <v>72000000</v>
      </c>
      <c r="F69" s="23">
        <f t="shared" si="0"/>
        <v>28800</v>
      </c>
      <c r="G69" s="41">
        <v>28800</v>
      </c>
      <c r="H69" s="41"/>
      <c r="I69" s="41"/>
      <c r="J69" s="41"/>
      <c r="K69" s="6" t="s">
        <v>81</v>
      </c>
    </row>
    <row r="70" spans="1:11" ht="30" x14ac:dyDescent="0.25">
      <c r="A70" s="6" t="s">
        <v>83</v>
      </c>
      <c r="B70" s="23">
        <v>2</v>
      </c>
      <c r="C70" s="23">
        <v>1</v>
      </c>
      <c r="D70" s="23">
        <v>14400000</v>
      </c>
      <c r="E70" s="23">
        <f>(B70*C70*D70)</f>
        <v>28800000</v>
      </c>
      <c r="F70" s="23">
        <f>(E70/2500)</f>
        <v>11520</v>
      </c>
      <c r="G70" s="41">
        <v>11520</v>
      </c>
      <c r="H70" s="41"/>
      <c r="I70" s="41"/>
      <c r="J70" s="41"/>
      <c r="K70" s="6" t="s">
        <v>82</v>
      </c>
    </row>
    <row r="71" spans="1:11" ht="30" x14ac:dyDescent="0.25">
      <c r="A71" s="6" t="s">
        <v>73</v>
      </c>
      <c r="B71" s="23">
        <v>2</v>
      </c>
      <c r="C71" s="23">
        <v>12</v>
      </c>
      <c r="D71" s="23">
        <v>2500000</v>
      </c>
      <c r="E71" s="23">
        <f t="shared" ref="E71:E73" si="4">(B71*C71*D71)</f>
        <v>60000000</v>
      </c>
      <c r="F71" s="23">
        <f t="shared" si="0"/>
        <v>24000</v>
      </c>
      <c r="G71" s="41">
        <v>24000</v>
      </c>
      <c r="H71" s="41"/>
      <c r="I71" s="41"/>
      <c r="J71" s="41"/>
      <c r="K71" s="6" t="s">
        <v>80</v>
      </c>
    </row>
    <row r="72" spans="1:11" ht="30" x14ac:dyDescent="0.25">
      <c r="A72" s="6" t="s">
        <v>84</v>
      </c>
      <c r="B72" s="23">
        <v>2</v>
      </c>
      <c r="C72" s="23">
        <v>1</v>
      </c>
      <c r="D72" s="23">
        <v>12000000</v>
      </c>
      <c r="E72" s="23">
        <f t="shared" si="4"/>
        <v>24000000</v>
      </c>
      <c r="F72" s="23">
        <f t="shared" si="0"/>
        <v>9600</v>
      </c>
      <c r="G72" s="41">
        <v>9600</v>
      </c>
      <c r="H72" s="41"/>
      <c r="I72" s="41"/>
      <c r="J72" s="41"/>
      <c r="K72" s="6" t="s">
        <v>82</v>
      </c>
    </row>
    <row r="73" spans="1:11" ht="30" x14ac:dyDescent="0.25">
      <c r="A73" s="6" t="s">
        <v>74</v>
      </c>
      <c r="B73" s="23">
        <v>4</v>
      </c>
      <c r="C73" s="23">
        <v>12</v>
      </c>
      <c r="D73" s="23">
        <v>150000</v>
      </c>
      <c r="E73" s="23">
        <f t="shared" si="4"/>
        <v>7200000</v>
      </c>
      <c r="F73" s="23">
        <f t="shared" ref="F73" si="5">(E73/2500)</f>
        <v>2880</v>
      </c>
      <c r="G73" s="41">
        <v>2880</v>
      </c>
      <c r="H73" s="41"/>
      <c r="I73" s="41"/>
      <c r="J73" s="41"/>
      <c r="K73" s="6" t="s">
        <v>85</v>
      </c>
    </row>
    <row r="74" spans="1:11" s="16" customFormat="1" x14ac:dyDescent="0.25">
      <c r="A74" s="15" t="s">
        <v>38</v>
      </c>
      <c r="B74" s="28"/>
      <c r="C74" s="28"/>
      <c r="D74" s="28"/>
      <c r="E74" s="28">
        <f>SUM(E69:E73)</f>
        <v>192000000</v>
      </c>
      <c r="F74" s="28">
        <f>SUM(F69:F73)</f>
        <v>76800</v>
      </c>
      <c r="G74" s="42">
        <f>SUM(G69:G73)</f>
        <v>76800</v>
      </c>
      <c r="H74" s="42"/>
      <c r="I74" s="42"/>
      <c r="J74" s="42"/>
      <c r="K74" s="15"/>
    </row>
    <row r="75" spans="1:11" x14ac:dyDescent="0.25">
      <c r="A75" s="6"/>
      <c r="B75" s="23"/>
      <c r="C75" s="23"/>
      <c r="D75" s="23"/>
      <c r="E75" s="23"/>
      <c r="F75" s="23"/>
      <c r="G75" s="41"/>
      <c r="H75" s="41"/>
      <c r="I75" s="41"/>
      <c r="J75" s="41"/>
      <c r="K75" s="6"/>
    </row>
    <row r="76" spans="1:11" s="18" customFormat="1" ht="15.75" x14ac:dyDescent="0.25">
      <c r="A76" s="21" t="s">
        <v>69</v>
      </c>
      <c r="B76" s="32"/>
      <c r="C76" s="32"/>
      <c r="D76" s="32"/>
      <c r="E76" s="32">
        <f>SUM(E49,E54,E58,E66,E74)</f>
        <v>316000000</v>
      </c>
      <c r="F76" s="32">
        <f>E76/2500</f>
        <v>126400</v>
      </c>
      <c r="G76" s="32">
        <f>SUM(G74)</f>
        <v>76800</v>
      </c>
      <c r="H76" s="32">
        <f>SUM(H49,H54,H58,H66)</f>
        <v>53472</v>
      </c>
      <c r="I76" s="32">
        <v>5248</v>
      </c>
      <c r="J76" s="32"/>
      <c r="K76" s="21"/>
    </row>
    <row r="77" spans="1:11" x14ac:dyDescent="0.25">
      <c r="A77" s="6"/>
      <c r="B77" s="23"/>
      <c r="C77" s="23"/>
      <c r="D77" s="23"/>
      <c r="E77" s="23"/>
      <c r="F77" s="23"/>
      <c r="G77" s="23"/>
      <c r="H77" s="23"/>
      <c r="I77" s="23"/>
      <c r="J77" s="23"/>
      <c r="K77" s="6"/>
    </row>
    <row r="78" spans="1:11" s="19" customFormat="1" ht="52.5" x14ac:dyDescent="0.3">
      <c r="A78" s="44" t="s">
        <v>71</v>
      </c>
      <c r="B78" s="45"/>
      <c r="C78" s="45"/>
      <c r="D78" s="45"/>
      <c r="E78" s="45">
        <f>SUM(E43,E76)</f>
        <v>3277410900</v>
      </c>
      <c r="F78" s="45">
        <f>SUM(F43,F76)</f>
        <v>1310964.3600000001</v>
      </c>
      <c r="G78" s="43">
        <f>SUM(G43,G76)</f>
        <v>93258</v>
      </c>
      <c r="H78" s="43">
        <f>SUM(H43,H76)</f>
        <v>396017.06079999998</v>
      </c>
      <c r="I78" s="43">
        <v>3968</v>
      </c>
      <c r="J78" s="43">
        <v>635068.88</v>
      </c>
      <c r="K78" s="58" t="s">
        <v>166</v>
      </c>
    </row>
    <row r="84" spans="5:7" ht="15.75" thickBot="1" x14ac:dyDescent="0.3">
      <c r="E84" s="59">
        <v>925000</v>
      </c>
    </row>
    <row r="85" spans="5:7" ht="15.75" thickBot="1" x14ac:dyDescent="0.3">
      <c r="E85" s="59">
        <v>4000000</v>
      </c>
    </row>
    <row r="86" spans="5:7" ht="15.75" thickBot="1" x14ac:dyDescent="0.3">
      <c r="E86" s="59">
        <v>52000000</v>
      </c>
    </row>
    <row r="87" spans="5:7" ht="15.75" thickBot="1" x14ac:dyDescent="0.3">
      <c r="E87" s="59">
        <v>4000000</v>
      </c>
    </row>
    <row r="88" spans="5:7" ht="15.75" thickBot="1" x14ac:dyDescent="0.3">
      <c r="E88" s="59">
        <v>7000000</v>
      </c>
    </row>
    <row r="89" spans="5:7" x14ac:dyDescent="0.25">
      <c r="E89" s="24">
        <f>SUM(E84:E88)</f>
        <v>67925000</v>
      </c>
      <c r="F89" s="24">
        <f>+E89/10</f>
        <v>6792500</v>
      </c>
      <c r="G89" s="24">
        <f>+F89/2500</f>
        <v>2717</v>
      </c>
    </row>
    <row r="90" spans="5:7" x14ac:dyDescent="0.25">
      <c r="E90" s="60">
        <v>177675000</v>
      </c>
    </row>
    <row r="91" spans="5:7" x14ac:dyDescent="0.25">
      <c r="E91" s="24">
        <f>+E90-E89</f>
        <v>109750000</v>
      </c>
      <c r="F91" s="24">
        <f>+E91/10</f>
        <v>10975000</v>
      </c>
      <c r="G91" s="24">
        <f>+F91/2500</f>
        <v>4390</v>
      </c>
    </row>
  </sheetData>
  <mergeCells count="2">
    <mergeCell ref="A1:K1"/>
    <mergeCell ref="A2:K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N11" sqref="N11"/>
    </sheetView>
  </sheetViews>
  <sheetFormatPr defaultRowHeight="15" x14ac:dyDescent="0.25"/>
  <cols>
    <col min="1" max="1" width="14.140625" customWidth="1"/>
    <col min="2" max="2" width="14" customWidth="1"/>
    <col min="3" max="3" width="9.7109375" customWidth="1"/>
    <col min="4" max="6" width="9.140625" customWidth="1"/>
    <col min="7" max="7" width="19.140625" customWidth="1"/>
    <col min="8" max="8" width="11.5703125" customWidth="1"/>
    <col min="9" max="9" width="12" customWidth="1"/>
  </cols>
  <sheetData>
    <row r="1" spans="1:9" ht="45" customHeight="1" x14ac:dyDescent="0.25">
      <c r="A1" s="3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75</v>
      </c>
      <c r="I1" s="3" t="s">
        <v>28</v>
      </c>
    </row>
    <row r="2" spans="1:9" x14ac:dyDescent="0.25">
      <c r="A2" s="2" t="s">
        <v>7</v>
      </c>
      <c r="B2" s="1" t="s">
        <v>10</v>
      </c>
      <c r="C2" s="22">
        <v>5</v>
      </c>
      <c r="D2" s="22">
        <v>0</v>
      </c>
      <c r="E2" s="22">
        <v>10</v>
      </c>
      <c r="F2" s="22">
        <v>18</v>
      </c>
      <c r="G2" s="22">
        <f>(C2+D2+E2+F2)</f>
        <v>33</v>
      </c>
      <c r="H2" s="22">
        <v>3</v>
      </c>
      <c r="I2" s="22">
        <f>(H2+1)</f>
        <v>4</v>
      </c>
    </row>
    <row r="3" spans="1:9" x14ac:dyDescent="0.25">
      <c r="A3" s="1"/>
      <c r="B3" s="1" t="s">
        <v>8</v>
      </c>
      <c r="C3" s="22">
        <v>0</v>
      </c>
      <c r="D3" s="22">
        <v>1</v>
      </c>
      <c r="E3" s="22">
        <v>6</v>
      </c>
      <c r="F3" s="22">
        <v>6</v>
      </c>
      <c r="G3" s="22">
        <f t="shared" ref="G3:G21" si="0">(C3+D3+E3+F3)</f>
        <v>13</v>
      </c>
      <c r="H3" s="22">
        <v>1</v>
      </c>
      <c r="I3" s="22">
        <f t="shared" ref="I3:I21" si="1">(H3+1)</f>
        <v>2</v>
      </c>
    </row>
    <row r="4" spans="1:9" x14ac:dyDescent="0.25">
      <c r="A4" s="1"/>
      <c r="B4" s="1" t="s">
        <v>9</v>
      </c>
      <c r="C4" s="22">
        <v>1</v>
      </c>
      <c r="D4" s="22">
        <v>0</v>
      </c>
      <c r="E4" s="22">
        <v>8</v>
      </c>
      <c r="F4" s="22">
        <v>11</v>
      </c>
      <c r="G4" s="22">
        <f t="shared" si="0"/>
        <v>20</v>
      </c>
      <c r="H4" s="22">
        <v>1</v>
      </c>
      <c r="I4" s="22">
        <f t="shared" si="1"/>
        <v>2</v>
      </c>
    </row>
    <row r="5" spans="1:9" x14ac:dyDescent="0.25">
      <c r="A5" s="1"/>
      <c r="B5" s="1" t="s">
        <v>11</v>
      </c>
      <c r="C5" s="22">
        <v>0</v>
      </c>
      <c r="D5" s="22">
        <v>1</v>
      </c>
      <c r="E5" s="22">
        <v>7</v>
      </c>
      <c r="F5" s="22">
        <v>11</v>
      </c>
      <c r="G5" s="22">
        <f t="shared" si="0"/>
        <v>19</v>
      </c>
      <c r="H5" s="22">
        <v>1</v>
      </c>
      <c r="I5" s="22">
        <f t="shared" si="1"/>
        <v>2</v>
      </c>
    </row>
    <row r="6" spans="1:9" x14ac:dyDescent="0.25">
      <c r="A6" s="1"/>
      <c r="B6" s="1" t="s">
        <v>12</v>
      </c>
      <c r="C6" s="22">
        <v>1</v>
      </c>
      <c r="D6" s="22">
        <v>2</v>
      </c>
      <c r="E6" s="22">
        <v>9</v>
      </c>
      <c r="F6" s="22">
        <v>12</v>
      </c>
      <c r="G6" s="22">
        <f t="shared" si="0"/>
        <v>24</v>
      </c>
      <c r="H6" s="22">
        <v>2</v>
      </c>
      <c r="I6" s="22">
        <f t="shared" si="1"/>
        <v>3</v>
      </c>
    </row>
    <row r="7" spans="1:9" x14ac:dyDescent="0.25">
      <c r="A7" s="1"/>
      <c r="B7" s="1"/>
      <c r="C7" s="22"/>
      <c r="D7" s="22"/>
      <c r="E7" s="22"/>
      <c r="F7" s="22"/>
      <c r="G7" s="22"/>
      <c r="H7" s="22"/>
      <c r="I7" s="22"/>
    </row>
    <row r="8" spans="1:9" x14ac:dyDescent="0.25">
      <c r="A8" s="2" t="s">
        <v>13</v>
      </c>
      <c r="B8" s="1" t="s">
        <v>14</v>
      </c>
      <c r="C8" s="22">
        <v>0</v>
      </c>
      <c r="D8" s="22">
        <v>1</v>
      </c>
      <c r="E8" s="22">
        <v>5</v>
      </c>
      <c r="F8" s="22">
        <v>14</v>
      </c>
      <c r="G8" s="22">
        <f t="shared" si="0"/>
        <v>20</v>
      </c>
      <c r="H8" s="22">
        <v>1</v>
      </c>
      <c r="I8" s="22">
        <f t="shared" si="1"/>
        <v>2</v>
      </c>
    </row>
    <row r="9" spans="1:9" x14ac:dyDescent="0.25">
      <c r="A9" s="1"/>
      <c r="B9" s="1" t="s">
        <v>15</v>
      </c>
      <c r="C9" s="22">
        <v>0</v>
      </c>
      <c r="D9" s="22">
        <v>3</v>
      </c>
      <c r="E9" s="22">
        <v>12</v>
      </c>
      <c r="F9" s="22">
        <v>8</v>
      </c>
      <c r="G9" s="22">
        <f t="shared" si="0"/>
        <v>23</v>
      </c>
      <c r="H9" s="22">
        <v>2</v>
      </c>
      <c r="I9" s="22">
        <f t="shared" si="1"/>
        <v>3</v>
      </c>
    </row>
    <row r="10" spans="1:9" x14ac:dyDescent="0.25">
      <c r="A10" s="1"/>
      <c r="B10" s="1" t="s">
        <v>16</v>
      </c>
      <c r="C10" s="22">
        <v>1</v>
      </c>
      <c r="D10" s="22">
        <v>0</v>
      </c>
      <c r="E10" s="22">
        <v>7</v>
      </c>
      <c r="F10" s="22">
        <v>4</v>
      </c>
      <c r="G10" s="22">
        <v>12</v>
      </c>
      <c r="H10" s="22">
        <v>1</v>
      </c>
      <c r="I10" s="22">
        <f t="shared" si="1"/>
        <v>2</v>
      </c>
    </row>
    <row r="11" spans="1:9" x14ac:dyDescent="0.25">
      <c r="A11" s="1"/>
      <c r="B11" s="1" t="s">
        <v>17</v>
      </c>
      <c r="C11" s="22">
        <v>0</v>
      </c>
      <c r="D11" s="22">
        <v>2</v>
      </c>
      <c r="E11" s="22">
        <v>9</v>
      </c>
      <c r="F11" s="22">
        <v>11</v>
      </c>
      <c r="G11" s="22">
        <f t="shared" si="0"/>
        <v>22</v>
      </c>
      <c r="H11" s="22">
        <v>2</v>
      </c>
      <c r="I11" s="22">
        <f t="shared" si="1"/>
        <v>3</v>
      </c>
    </row>
    <row r="12" spans="1:9" x14ac:dyDescent="0.25">
      <c r="A12" s="1"/>
      <c r="B12" s="1" t="s">
        <v>18</v>
      </c>
      <c r="C12" s="22">
        <v>1</v>
      </c>
      <c r="D12" s="22">
        <v>2</v>
      </c>
      <c r="E12" s="22">
        <v>12</v>
      </c>
      <c r="F12" s="22">
        <v>15</v>
      </c>
      <c r="G12" s="22">
        <f t="shared" si="0"/>
        <v>30</v>
      </c>
      <c r="H12" s="22">
        <v>2</v>
      </c>
      <c r="I12" s="22">
        <f t="shared" si="1"/>
        <v>3</v>
      </c>
    </row>
    <row r="13" spans="1:9" x14ac:dyDescent="0.25">
      <c r="A13" s="1"/>
      <c r="B13" s="1"/>
      <c r="C13" s="22"/>
      <c r="D13" s="22"/>
      <c r="E13" s="22"/>
      <c r="F13" s="22"/>
      <c r="G13" s="22"/>
      <c r="H13" s="22"/>
      <c r="I13" s="22"/>
    </row>
    <row r="14" spans="1:9" x14ac:dyDescent="0.25">
      <c r="A14" s="2" t="s">
        <v>19</v>
      </c>
      <c r="B14" s="1" t="s">
        <v>20</v>
      </c>
      <c r="C14" s="22">
        <v>1</v>
      </c>
      <c r="D14" s="22">
        <v>0</v>
      </c>
      <c r="E14" s="22">
        <v>4</v>
      </c>
      <c r="F14" s="22">
        <v>14</v>
      </c>
      <c r="G14" s="22">
        <f t="shared" si="0"/>
        <v>19</v>
      </c>
      <c r="H14" s="22">
        <v>1</v>
      </c>
      <c r="I14" s="22">
        <f t="shared" si="1"/>
        <v>2</v>
      </c>
    </row>
    <row r="15" spans="1:9" x14ac:dyDescent="0.25">
      <c r="A15" s="1"/>
      <c r="B15" s="1" t="s">
        <v>21</v>
      </c>
      <c r="C15" s="22">
        <v>1</v>
      </c>
      <c r="D15" s="22">
        <v>1</v>
      </c>
      <c r="E15" s="22">
        <v>8</v>
      </c>
      <c r="F15" s="22">
        <v>9</v>
      </c>
      <c r="G15" s="22">
        <f t="shared" si="0"/>
        <v>19</v>
      </c>
      <c r="H15" s="22">
        <v>2</v>
      </c>
      <c r="I15" s="22">
        <f t="shared" si="1"/>
        <v>3</v>
      </c>
    </row>
    <row r="16" spans="1:9" x14ac:dyDescent="0.25">
      <c r="A16" s="1"/>
      <c r="B16" s="1" t="s">
        <v>22</v>
      </c>
      <c r="C16" s="22">
        <v>1</v>
      </c>
      <c r="D16" s="22">
        <v>1</v>
      </c>
      <c r="E16" s="22">
        <v>13</v>
      </c>
      <c r="F16" s="22">
        <v>13</v>
      </c>
      <c r="G16" s="22">
        <f t="shared" si="0"/>
        <v>28</v>
      </c>
      <c r="H16" s="22">
        <v>1</v>
      </c>
      <c r="I16" s="22">
        <f t="shared" si="1"/>
        <v>2</v>
      </c>
    </row>
    <row r="17" spans="1:9" x14ac:dyDescent="0.25">
      <c r="A17" s="1"/>
      <c r="B17" s="1"/>
      <c r="C17" s="22"/>
      <c r="D17" s="22"/>
      <c r="E17" s="22"/>
      <c r="F17" s="22"/>
      <c r="G17" s="22"/>
      <c r="H17" s="22"/>
      <c r="I17" s="22"/>
    </row>
    <row r="18" spans="1:9" x14ac:dyDescent="0.25">
      <c r="A18" s="2" t="s">
        <v>23</v>
      </c>
      <c r="B18" s="1" t="s">
        <v>24</v>
      </c>
      <c r="C18" s="22">
        <v>0</v>
      </c>
      <c r="D18" s="22">
        <v>3</v>
      </c>
      <c r="E18" s="22">
        <v>10</v>
      </c>
      <c r="F18" s="22">
        <v>25</v>
      </c>
      <c r="G18" s="22">
        <f t="shared" si="0"/>
        <v>38</v>
      </c>
      <c r="H18" s="22">
        <v>3</v>
      </c>
      <c r="I18" s="22">
        <f t="shared" si="1"/>
        <v>4</v>
      </c>
    </row>
    <row r="19" spans="1:9" x14ac:dyDescent="0.25">
      <c r="A19" s="1"/>
      <c r="B19" s="1" t="s">
        <v>25</v>
      </c>
      <c r="C19" s="22">
        <v>2</v>
      </c>
      <c r="D19" s="22">
        <v>1</v>
      </c>
      <c r="E19" s="22">
        <v>25</v>
      </c>
      <c r="F19" s="22">
        <v>65</v>
      </c>
      <c r="G19" s="22">
        <f t="shared" si="0"/>
        <v>93</v>
      </c>
      <c r="H19" s="22">
        <v>3</v>
      </c>
      <c r="I19" s="22">
        <f t="shared" si="1"/>
        <v>4</v>
      </c>
    </row>
    <row r="20" spans="1:9" x14ac:dyDescent="0.25">
      <c r="A20" s="1"/>
      <c r="B20" s="1"/>
      <c r="C20" s="22"/>
      <c r="D20" s="22"/>
      <c r="E20" s="22"/>
      <c r="F20" s="22"/>
      <c r="G20" s="22"/>
      <c r="H20" s="22"/>
      <c r="I20" s="22"/>
    </row>
    <row r="21" spans="1:9" x14ac:dyDescent="0.25">
      <c r="A21" s="2" t="s">
        <v>26</v>
      </c>
      <c r="B21" s="1" t="s">
        <v>27</v>
      </c>
      <c r="C21" s="22">
        <v>1</v>
      </c>
      <c r="D21" s="22">
        <v>0</v>
      </c>
      <c r="E21" s="22">
        <v>8</v>
      </c>
      <c r="F21" s="22">
        <v>13</v>
      </c>
      <c r="G21" s="22">
        <f t="shared" si="0"/>
        <v>22</v>
      </c>
      <c r="H21" s="22">
        <v>1</v>
      </c>
      <c r="I21" s="22">
        <f t="shared" si="1"/>
        <v>2</v>
      </c>
    </row>
    <row r="22" spans="1:9" s="16" customFormat="1" x14ac:dyDescent="0.25">
      <c r="A22" s="2" t="s">
        <v>111</v>
      </c>
      <c r="B22" s="38">
        <v>16</v>
      </c>
      <c r="C22" s="38">
        <f t="shared" ref="C22:I22" si="2">SUM(C2:C21)</f>
        <v>15</v>
      </c>
      <c r="D22" s="38">
        <f t="shared" si="2"/>
        <v>18</v>
      </c>
      <c r="E22" s="38">
        <f t="shared" si="2"/>
        <v>153</v>
      </c>
      <c r="F22" s="38">
        <f t="shared" si="2"/>
        <v>249</v>
      </c>
      <c r="G22" s="38">
        <f t="shared" si="2"/>
        <v>435</v>
      </c>
      <c r="H22" s="38">
        <f t="shared" si="2"/>
        <v>27</v>
      </c>
      <c r="I22" s="38">
        <f t="shared" si="2"/>
        <v>43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pane ySplit="3" topLeftCell="A4" activePane="bottomLeft" state="frozen"/>
      <selection pane="bottomLeft" activeCell="J22" sqref="J22"/>
    </sheetView>
  </sheetViews>
  <sheetFormatPr defaultRowHeight="15" x14ac:dyDescent="0.25"/>
  <cols>
    <col min="1" max="1" width="36.5703125" style="54" customWidth="1"/>
    <col min="2" max="2" width="14.85546875" style="55" customWidth="1"/>
    <col min="3" max="3" width="15.140625" style="55" customWidth="1"/>
    <col min="4" max="4" width="15.42578125" style="55" customWidth="1"/>
    <col min="5" max="5" width="16.28515625" style="55" customWidth="1"/>
    <col min="6" max="6" width="15.28515625" customWidth="1"/>
    <col min="7" max="7" width="14.7109375" style="55" customWidth="1"/>
    <col min="8" max="8" width="16.7109375" style="36" customWidth="1"/>
  </cols>
  <sheetData>
    <row r="1" spans="1:8" s="40" customFormat="1" x14ac:dyDescent="0.25">
      <c r="A1" s="54"/>
      <c r="B1" s="55"/>
      <c r="C1" s="55"/>
      <c r="D1" s="55"/>
      <c r="E1" s="55"/>
      <c r="F1"/>
      <c r="G1" s="55"/>
      <c r="H1" s="36"/>
    </row>
    <row r="2" spans="1:8" x14ac:dyDescent="0.25">
      <c r="A2" s="66" t="s">
        <v>156</v>
      </c>
      <c r="B2" s="63" t="s">
        <v>164</v>
      </c>
      <c r="C2" s="64"/>
      <c r="D2" s="64"/>
      <c r="E2" s="65"/>
      <c r="F2" s="68" t="s">
        <v>159</v>
      </c>
      <c r="G2" s="68" t="s">
        <v>157</v>
      </c>
      <c r="H2" s="68" t="s">
        <v>158</v>
      </c>
    </row>
    <row r="3" spans="1:8" s="16" customFormat="1" x14ac:dyDescent="0.25">
      <c r="A3" s="67"/>
      <c r="B3" s="57" t="s">
        <v>160</v>
      </c>
      <c r="C3" s="57" t="s">
        <v>161</v>
      </c>
      <c r="D3" s="57" t="s">
        <v>162</v>
      </c>
      <c r="E3" s="57" t="s">
        <v>163</v>
      </c>
      <c r="F3" s="69"/>
      <c r="G3" s="69"/>
      <c r="H3" s="69"/>
    </row>
    <row r="4" spans="1:8" x14ac:dyDescent="0.25">
      <c r="A4" s="50" t="s">
        <v>123</v>
      </c>
      <c r="B4" s="51">
        <v>150</v>
      </c>
      <c r="C4" s="51">
        <v>72</v>
      </c>
      <c r="D4" s="51">
        <v>306</v>
      </c>
      <c r="E4" s="51">
        <v>498</v>
      </c>
      <c r="F4" s="23">
        <f>SUM(B4,C4,D4,E4)</f>
        <v>1026</v>
      </c>
      <c r="G4" s="51">
        <v>17000</v>
      </c>
      <c r="H4" s="41">
        <f>F4*G4</f>
        <v>17442000</v>
      </c>
    </row>
    <row r="5" spans="1:8" x14ac:dyDescent="0.25">
      <c r="A5" s="50" t="s">
        <v>125</v>
      </c>
      <c r="B5" s="51">
        <v>45</v>
      </c>
      <c r="C5" s="51">
        <v>36</v>
      </c>
      <c r="D5" s="51">
        <v>306</v>
      </c>
      <c r="E5" s="51">
        <v>498</v>
      </c>
      <c r="F5" s="23">
        <f t="shared" ref="F5:F38" si="0">SUM(B5,C5,D5,E5)</f>
        <v>885</v>
      </c>
      <c r="G5" s="51">
        <v>10000</v>
      </c>
      <c r="H5" s="41">
        <f t="shared" ref="H5:H38" si="1">F5*G5</f>
        <v>8850000</v>
      </c>
    </row>
    <row r="6" spans="1:8" x14ac:dyDescent="0.25">
      <c r="A6" s="52" t="s">
        <v>103</v>
      </c>
      <c r="B6" s="53">
        <v>15</v>
      </c>
      <c r="C6" s="53">
        <v>18</v>
      </c>
      <c r="D6" s="53">
        <v>153</v>
      </c>
      <c r="E6" s="53">
        <v>249</v>
      </c>
      <c r="F6" s="23">
        <f t="shared" si="0"/>
        <v>435</v>
      </c>
      <c r="G6" s="53">
        <v>10000</v>
      </c>
      <c r="H6" s="41">
        <f t="shared" si="1"/>
        <v>4350000</v>
      </c>
    </row>
    <row r="7" spans="1:8" x14ac:dyDescent="0.25">
      <c r="A7" s="52" t="s">
        <v>126</v>
      </c>
      <c r="B7" s="53">
        <v>30</v>
      </c>
      <c r="C7" s="53">
        <v>36</v>
      </c>
      <c r="D7" s="53">
        <v>153</v>
      </c>
      <c r="E7" s="53">
        <v>249</v>
      </c>
      <c r="F7" s="23">
        <f t="shared" si="0"/>
        <v>468</v>
      </c>
      <c r="G7" s="53">
        <v>15000</v>
      </c>
      <c r="H7" s="41">
        <f t="shared" si="1"/>
        <v>7020000</v>
      </c>
    </row>
    <row r="8" spans="1:8" x14ac:dyDescent="0.25">
      <c r="A8" s="50" t="s">
        <v>130</v>
      </c>
      <c r="B8" s="51">
        <v>45</v>
      </c>
      <c r="C8" s="51">
        <v>36</v>
      </c>
      <c r="D8" s="51">
        <v>306</v>
      </c>
      <c r="E8" s="51">
        <v>498</v>
      </c>
      <c r="F8" s="23">
        <f t="shared" si="0"/>
        <v>885</v>
      </c>
      <c r="G8" s="51">
        <v>10000</v>
      </c>
      <c r="H8" s="41">
        <f t="shared" si="1"/>
        <v>8850000</v>
      </c>
    </row>
    <row r="9" spans="1:8" x14ac:dyDescent="0.25">
      <c r="A9" s="52" t="s">
        <v>151</v>
      </c>
      <c r="B9" s="53">
        <v>15</v>
      </c>
      <c r="C9" s="53">
        <v>18</v>
      </c>
      <c r="D9" s="53">
        <v>153</v>
      </c>
      <c r="E9" s="53">
        <v>249</v>
      </c>
      <c r="F9" s="23">
        <f t="shared" si="0"/>
        <v>435</v>
      </c>
      <c r="G9" s="51">
        <v>10000</v>
      </c>
      <c r="H9" s="41">
        <f t="shared" si="1"/>
        <v>4350000</v>
      </c>
    </row>
    <row r="10" spans="1:8" x14ac:dyDescent="0.25">
      <c r="A10" s="50" t="s">
        <v>134</v>
      </c>
      <c r="B10" s="51">
        <v>15</v>
      </c>
      <c r="C10" s="51">
        <v>18</v>
      </c>
      <c r="D10" s="51">
        <v>153</v>
      </c>
      <c r="E10" s="51">
        <v>249</v>
      </c>
      <c r="F10" s="23">
        <f t="shared" si="0"/>
        <v>435</v>
      </c>
      <c r="G10" s="51">
        <v>10000</v>
      </c>
      <c r="H10" s="41">
        <f t="shared" si="1"/>
        <v>4350000</v>
      </c>
    </row>
    <row r="11" spans="1:8" x14ac:dyDescent="0.25">
      <c r="A11" s="50" t="s">
        <v>135</v>
      </c>
      <c r="B11" s="51">
        <v>15</v>
      </c>
      <c r="C11" s="51">
        <v>18</v>
      </c>
      <c r="D11" s="51">
        <v>153</v>
      </c>
      <c r="E11" s="51">
        <v>249</v>
      </c>
      <c r="F11" s="23">
        <f t="shared" si="0"/>
        <v>435</v>
      </c>
      <c r="G11" s="51">
        <v>10000</v>
      </c>
      <c r="H11" s="41">
        <f t="shared" si="1"/>
        <v>4350000</v>
      </c>
    </row>
    <row r="12" spans="1:8" x14ac:dyDescent="0.25">
      <c r="A12" s="50" t="s">
        <v>122</v>
      </c>
      <c r="B12" s="56">
        <v>150</v>
      </c>
      <c r="C12" s="56">
        <v>180</v>
      </c>
      <c r="D12" s="56">
        <v>1530</v>
      </c>
      <c r="E12" s="56">
        <v>2490</v>
      </c>
      <c r="F12" s="23">
        <f t="shared" si="0"/>
        <v>4350</v>
      </c>
      <c r="G12" s="51">
        <v>1500</v>
      </c>
      <c r="H12" s="41">
        <f t="shared" si="1"/>
        <v>6525000</v>
      </c>
    </row>
    <row r="13" spans="1:8" x14ac:dyDescent="0.25">
      <c r="A13" s="50" t="s">
        <v>124</v>
      </c>
      <c r="B13" s="51">
        <v>300</v>
      </c>
      <c r="C13" s="51">
        <v>360</v>
      </c>
      <c r="D13" s="51">
        <v>3060</v>
      </c>
      <c r="E13" s="51">
        <v>4980</v>
      </c>
      <c r="F13" s="23">
        <f t="shared" si="0"/>
        <v>8700</v>
      </c>
      <c r="G13" s="51">
        <v>1000</v>
      </c>
      <c r="H13" s="41">
        <f t="shared" si="1"/>
        <v>8700000</v>
      </c>
    </row>
    <row r="14" spans="1:8" x14ac:dyDescent="0.25">
      <c r="A14" s="50" t="s">
        <v>127</v>
      </c>
      <c r="B14" s="51">
        <v>180</v>
      </c>
      <c r="C14" s="51">
        <v>216</v>
      </c>
      <c r="D14" s="51">
        <v>1836</v>
      </c>
      <c r="E14" s="51">
        <v>2988</v>
      </c>
      <c r="F14" s="23">
        <f t="shared" si="0"/>
        <v>5220</v>
      </c>
      <c r="G14" s="51">
        <v>400</v>
      </c>
      <c r="H14" s="41">
        <f t="shared" si="1"/>
        <v>2088000</v>
      </c>
    </row>
    <row r="15" spans="1:8" x14ac:dyDescent="0.25">
      <c r="A15" s="50" t="s">
        <v>128</v>
      </c>
      <c r="B15" s="51">
        <v>15</v>
      </c>
      <c r="C15" s="51">
        <v>18</v>
      </c>
      <c r="D15" s="51">
        <v>153</v>
      </c>
      <c r="E15" s="51">
        <v>249</v>
      </c>
      <c r="F15" s="23">
        <f t="shared" si="0"/>
        <v>435</v>
      </c>
      <c r="G15" s="51">
        <v>120000</v>
      </c>
      <c r="H15" s="41">
        <f t="shared" si="1"/>
        <v>52200000</v>
      </c>
    </row>
    <row r="16" spans="1:8" x14ac:dyDescent="0.25">
      <c r="A16" s="50" t="s">
        <v>129</v>
      </c>
      <c r="B16" s="51">
        <v>75</v>
      </c>
      <c r="C16" s="51">
        <v>90</v>
      </c>
      <c r="D16" s="51">
        <v>765</v>
      </c>
      <c r="E16" s="51">
        <v>1245</v>
      </c>
      <c r="F16" s="23">
        <f t="shared" si="0"/>
        <v>2175</v>
      </c>
      <c r="G16" s="51">
        <v>15000</v>
      </c>
      <c r="H16" s="41">
        <f t="shared" si="1"/>
        <v>32625000</v>
      </c>
    </row>
    <row r="17" spans="1:8" x14ac:dyDescent="0.25">
      <c r="A17" s="50" t="s">
        <v>131</v>
      </c>
      <c r="B17" s="51">
        <v>15</v>
      </c>
      <c r="C17" s="51">
        <v>18</v>
      </c>
      <c r="D17" s="51">
        <v>153</v>
      </c>
      <c r="E17" s="51">
        <v>249</v>
      </c>
      <c r="F17" s="23">
        <f t="shared" si="0"/>
        <v>435</v>
      </c>
      <c r="G17" s="51">
        <v>35000</v>
      </c>
      <c r="H17" s="41">
        <f t="shared" si="1"/>
        <v>15225000</v>
      </c>
    </row>
    <row r="18" spans="1:8" x14ac:dyDescent="0.25">
      <c r="A18" s="50" t="s">
        <v>132</v>
      </c>
      <c r="B18" s="51">
        <v>150</v>
      </c>
      <c r="C18" s="51">
        <v>180</v>
      </c>
      <c r="D18" s="51">
        <v>1530</v>
      </c>
      <c r="E18" s="51">
        <v>2490</v>
      </c>
      <c r="F18" s="23">
        <f t="shared" si="0"/>
        <v>4350</v>
      </c>
      <c r="G18" s="51">
        <v>2000</v>
      </c>
      <c r="H18" s="41">
        <f t="shared" si="1"/>
        <v>8700000</v>
      </c>
    </row>
    <row r="19" spans="1:8" x14ac:dyDescent="0.25">
      <c r="A19" s="50" t="s">
        <v>133</v>
      </c>
      <c r="B19" s="51">
        <v>15</v>
      </c>
      <c r="C19" s="51">
        <v>18</v>
      </c>
      <c r="D19" s="51">
        <v>153</v>
      </c>
      <c r="E19" s="51">
        <v>249</v>
      </c>
      <c r="F19" s="23">
        <f t="shared" si="0"/>
        <v>435</v>
      </c>
      <c r="G19" s="51">
        <v>6000</v>
      </c>
      <c r="H19" s="41">
        <f t="shared" si="1"/>
        <v>2610000</v>
      </c>
    </row>
    <row r="20" spans="1:8" x14ac:dyDescent="0.25">
      <c r="A20" s="50" t="s">
        <v>136</v>
      </c>
      <c r="B20" s="51">
        <v>150</v>
      </c>
      <c r="C20" s="51">
        <v>180</v>
      </c>
      <c r="D20" s="51">
        <v>1530</v>
      </c>
      <c r="E20" s="51">
        <v>2490</v>
      </c>
      <c r="F20" s="23">
        <f t="shared" si="0"/>
        <v>4350</v>
      </c>
      <c r="G20" s="51">
        <v>500</v>
      </c>
      <c r="H20" s="41">
        <f t="shared" si="1"/>
        <v>2175000</v>
      </c>
    </row>
    <row r="21" spans="1:8" x14ac:dyDescent="0.25">
      <c r="A21" s="50" t="s">
        <v>137</v>
      </c>
      <c r="B21" s="51">
        <v>15</v>
      </c>
      <c r="C21" s="51">
        <v>18</v>
      </c>
      <c r="D21" s="51">
        <v>153</v>
      </c>
      <c r="E21" s="51">
        <v>249</v>
      </c>
      <c r="F21" s="23">
        <f t="shared" si="0"/>
        <v>435</v>
      </c>
      <c r="G21" s="51">
        <v>12000</v>
      </c>
      <c r="H21" s="41">
        <f t="shared" si="1"/>
        <v>5220000</v>
      </c>
    </row>
    <row r="22" spans="1:8" x14ac:dyDescent="0.25">
      <c r="A22" s="50" t="s">
        <v>138</v>
      </c>
      <c r="B22" s="51">
        <v>15</v>
      </c>
      <c r="C22" s="51">
        <v>18</v>
      </c>
      <c r="D22" s="51">
        <v>153</v>
      </c>
      <c r="E22" s="51">
        <v>249</v>
      </c>
      <c r="F22" s="23">
        <f t="shared" si="0"/>
        <v>435</v>
      </c>
      <c r="G22" s="51">
        <v>50000</v>
      </c>
      <c r="H22" s="41">
        <f t="shared" si="1"/>
        <v>21750000</v>
      </c>
    </row>
    <row r="23" spans="1:8" x14ac:dyDescent="0.25">
      <c r="A23" s="50" t="s">
        <v>139</v>
      </c>
      <c r="B23" s="51">
        <v>15</v>
      </c>
      <c r="C23" s="51">
        <v>18</v>
      </c>
      <c r="D23" s="51">
        <v>153</v>
      </c>
      <c r="E23" s="51">
        <v>249</v>
      </c>
      <c r="F23" s="23">
        <f t="shared" si="0"/>
        <v>435</v>
      </c>
      <c r="G23" s="51">
        <v>10000</v>
      </c>
      <c r="H23" s="41">
        <f t="shared" si="1"/>
        <v>4350000</v>
      </c>
    </row>
    <row r="24" spans="1:8" x14ac:dyDescent="0.25">
      <c r="A24" s="50" t="s">
        <v>140</v>
      </c>
      <c r="B24" s="51">
        <v>30</v>
      </c>
      <c r="C24" s="51">
        <v>36</v>
      </c>
      <c r="D24" s="51">
        <v>306</v>
      </c>
      <c r="E24" s="51">
        <v>498</v>
      </c>
      <c r="F24" s="23">
        <f t="shared" si="0"/>
        <v>870</v>
      </c>
      <c r="G24" s="51">
        <v>15000</v>
      </c>
      <c r="H24" s="41">
        <f t="shared" si="1"/>
        <v>13050000</v>
      </c>
    </row>
    <row r="25" spans="1:8" x14ac:dyDescent="0.25">
      <c r="A25" s="50" t="s">
        <v>141</v>
      </c>
      <c r="B25" s="51">
        <v>45</v>
      </c>
      <c r="C25" s="51">
        <v>54</v>
      </c>
      <c r="D25" s="51">
        <v>459</v>
      </c>
      <c r="E25" s="51">
        <v>1494</v>
      </c>
      <c r="F25" s="23">
        <f t="shared" si="0"/>
        <v>2052</v>
      </c>
      <c r="G25" s="51">
        <v>25000</v>
      </c>
      <c r="H25" s="41">
        <f t="shared" si="1"/>
        <v>51300000</v>
      </c>
    </row>
    <row r="26" spans="1:8" x14ac:dyDescent="0.25">
      <c r="A26" s="50" t="s">
        <v>142</v>
      </c>
      <c r="B26" s="51">
        <v>30</v>
      </c>
      <c r="C26" s="51">
        <v>36</v>
      </c>
      <c r="D26" s="51">
        <v>306</v>
      </c>
      <c r="E26" s="51">
        <v>498</v>
      </c>
      <c r="F26" s="23">
        <f t="shared" si="0"/>
        <v>870</v>
      </c>
      <c r="G26" s="51">
        <v>15000</v>
      </c>
      <c r="H26" s="41">
        <f t="shared" si="1"/>
        <v>13050000</v>
      </c>
    </row>
    <row r="27" spans="1:8" x14ac:dyDescent="0.25">
      <c r="A27" s="50" t="s">
        <v>143</v>
      </c>
      <c r="B27" s="51">
        <v>15</v>
      </c>
      <c r="C27" s="51">
        <v>18</v>
      </c>
      <c r="D27" s="51">
        <v>153</v>
      </c>
      <c r="E27" s="51">
        <v>249</v>
      </c>
      <c r="F27" s="23">
        <f t="shared" si="0"/>
        <v>435</v>
      </c>
      <c r="G27" s="51">
        <v>15000</v>
      </c>
      <c r="H27" s="41">
        <f t="shared" si="1"/>
        <v>6525000</v>
      </c>
    </row>
    <row r="28" spans="1:8" x14ac:dyDescent="0.25">
      <c r="A28" s="50" t="s">
        <v>144</v>
      </c>
      <c r="B28" s="51">
        <v>15</v>
      </c>
      <c r="C28" s="51">
        <v>18</v>
      </c>
      <c r="D28" s="51">
        <v>153</v>
      </c>
      <c r="E28" s="51">
        <v>249</v>
      </c>
      <c r="F28" s="23">
        <f t="shared" si="0"/>
        <v>435</v>
      </c>
      <c r="G28" s="51">
        <v>40000</v>
      </c>
      <c r="H28" s="41">
        <f t="shared" si="1"/>
        <v>17400000</v>
      </c>
    </row>
    <row r="29" spans="1:8" x14ac:dyDescent="0.25">
      <c r="A29" s="52" t="s">
        <v>145</v>
      </c>
      <c r="B29" s="53">
        <v>150</v>
      </c>
      <c r="C29" s="53">
        <v>180</v>
      </c>
      <c r="D29" s="53">
        <v>1530</v>
      </c>
      <c r="E29" s="53">
        <v>2490</v>
      </c>
      <c r="F29" s="23">
        <f t="shared" si="0"/>
        <v>4350</v>
      </c>
      <c r="G29" s="51">
        <v>10000</v>
      </c>
      <c r="H29" s="41">
        <f t="shared" si="1"/>
        <v>43500000</v>
      </c>
    </row>
    <row r="30" spans="1:8" x14ac:dyDescent="0.25">
      <c r="A30" s="52" t="s">
        <v>146</v>
      </c>
      <c r="B30" s="53">
        <v>45</v>
      </c>
      <c r="C30" s="53">
        <v>54</v>
      </c>
      <c r="D30" s="53">
        <v>459</v>
      </c>
      <c r="E30" s="53">
        <v>1494</v>
      </c>
      <c r="F30" s="23">
        <f t="shared" si="0"/>
        <v>2052</v>
      </c>
      <c r="G30" s="51">
        <v>40000</v>
      </c>
      <c r="H30" s="41">
        <f t="shared" si="1"/>
        <v>82080000</v>
      </c>
    </row>
    <row r="31" spans="1:8" x14ac:dyDescent="0.25">
      <c r="A31" s="52" t="s">
        <v>147</v>
      </c>
      <c r="B31" s="53">
        <v>45</v>
      </c>
      <c r="C31" s="53">
        <v>54</v>
      </c>
      <c r="D31" s="53">
        <v>459</v>
      </c>
      <c r="E31" s="53">
        <v>1494</v>
      </c>
      <c r="F31" s="23">
        <f t="shared" si="0"/>
        <v>2052</v>
      </c>
      <c r="G31" s="51">
        <v>50000</v>
      </c>
      <c r="H31" s="41">
        <f t="shared" si="1"/>
        <v>102600000</v>
      </c>
    </row>
    <row r="32" spans="1:8" x14ac:dyDescent="0.25">
      <c r="A32" s="52" t="s">
        <v>148</v>
      </c>
      <c r="B32" s="53">
        <v>15</v>
      </c>
      <c r="C32" s="53">
        <v>18</v>
      </c>
      <c r="D32" s="53">
        <v>153</v>
      </c>
      <c r="E32" s="53">
        <v>249</v>
      </c>
      <c r="F32" s="23">
        <f t="shared" si="0"/>
        <v>435</v>
      </c>
      <c r="G32" s="51">
        <v>20000</v>
      </c>
      <c r="H32" s="41">
        <f t="shared" si="1"/>
        <v>8700000</v>
      </c>
    </row>
    <row r="33" spans="1:8" x14ac:dyDescent="0.25">
      <c r="A33" s="52" t="s">
        <v>149</v>
      </c>
      <c r="B33" s="53">
        <v>15</v>
      </c>
      <c r="C33" s="53">
        <v>18</v>
      </c>
      <c r="D33" s="53">
        <v>153</v>
      </c>
      <c r="E33" s="53">
        <v>249</v>
      </c>
      <c r="F33" s="23">
        <f t="shared" si="0"/>
        <v>435</v>
      </c>
      <c r="G33" s="51">
        <v>10000</v>
      </c>
      <c r="H33" s="41">
        <f t="shared" si="1"/>
        <v>4350000</v>
      </c>
    </row>
    <row r="34" spans="1:8" x14ac:dyDescent="0.25">
      <c r="A34" s="52" t="s">
        <v>150</v>
      </c>
      <c r="B34" s="53">
        <v>90</v>
      </c>
      <c r="C34" s="53">
        <v>108</v>
      </c>
      <c r="D34" s="53">
        <v>918</v>
      </c>
      <c r="E34" s="53">
        <v>1494</v>
      </c>
      <c r="F34" s="23">
        <f t="shared" si="0"/>
        <v>2610</v>
      </c>
      <c r="G34" s="51">
        <v>4000</v>
      </c>
      <c r="H34" s="41">
        <f t="shared" si="1"/>
        <v>10440000</v>
      </c>
    </row>
    <row r="35" spans="1:8" x14ac:dyDescent="0.25">
      <c r="A35" s="52" t="s">
        <v>152</v>
      </c>
      <c r="B35" s="53">
        <v>15</v>
      </c>
      <c r="C35" s="53">
        <v>18</v>
      </c>
      <c r="D35" s="53">
        <v>153</v>
      </c>
      <c r="E35" s="53">
        <v>249</v>
      </c>
      <c r="F35" s="23">
        <f t="shared" si="0"/>
        <v>435</v>
      </c>
      <c r="G35" s="51">
        <v>35000</v>
      </c>
      <c r="H35" s="41">
        <f t="shared" si="1"/>
        <v>15225000</v>
      </c>
    </row>
    <row r="36" spans="1:8" x14ac:dyDescent="0.25">
      <c r="A36" s="52" t="s">
        <v>153</v>
      </c>
      <c r="B36" s="53">
        <v>15</v>
      </c>
      <c r="C36" s="53">
        <v>18</v>
      </c>
      <c r="D36" s="53">
        <v>153</v>
      </c>
      <c r="E36" s="53">
        <v>249</v>
      </c>
      <c r="F36" s="23">
        <f t="shared" si="0"/>
        <v>435</v>
      </c>
      <c r="G36" s="51">
        <v>15000</v>
      </c>
      <c r="H36" s="41">
        <f t="shared" si="1"/>
        <v>6525000</v>
      </c>
    </row>
    <row r="37" spans="1:8" x14ac:dyDescent="0.25">
      <c r="A37" s="52" t="s">
        <v>154</v>
      </c>
      <c r="B37" s="53">
        <v>15</v>
      </c>
      <c r="C37" s="53">
        <v>18</v>
      </c>
      <c r="D37" s="53">
        <v>153</v>
      </c>
      <c r="E37" s="53">
        <v>249</v>
      </c>
      <c r="F37" s="23">
        <f t="shared" si="0"/>
        <v>435</v>
      </c>
      <c r="G37" s="51">
        <v>15000</v>
      </c>
      <c r="H37" s="41">
        <f t="shared" si="1"/>
        <v>6525000</v>
      </c>
    </row>
    <row r="38" spans="1:8" x14ac:dyDescent="0.25">
      <c r="A38" s="52" t="s">
        <v>155</v>
      </c>
      <c r="B38" s="53">
        <v>15</v>
      </c>
      <c r="C38" s="53">
        <v>18</v>
      </c>
      <c r="D38" s="53">
        <v>153</v>
      </c>
      <c r="E38" s="53">
        <v>249</v>
      </c>
      <c r="F38" s="23">
        <f t="shared" si="0"/>
        <v>435</v>
      </c>
      <c r="G38" s="51">
        <v>5000</v>
      </c>
      <c r="H38" s="41">
        <f t="shared" si="1"/>
        <v>2175000</v>
      </c>
    </row>
    <row r="39" spans="1:8" x14ac:dyDescent="0.25">
      <c r="G39" s="51" t="s">
        <v>111</v>
      </c>
      <c r="H39" s="42">
        <f>SUM(H4:H38)</f>
        <v>605175000</v>
      </c>
    </row>
  </sheetData>
  <mergeCells count="5">
    <mergeCell ref="B2:E2"/>
    <mergeCell ref="A2:A3"/>
    <mergeCell ref="F2:F3"/>
    <mergeCell ref="G2:G3"/>
    <mergeCell ref="H2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STATISTICS</vt:lpstr>
      <vt:lpstr>REWARDS COST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snakabugo</dc:creator>
  <cp:lastModifiedBy>USAID</cp:lastModifiedBy>
  <cp:lastPrinted>2012-10-10T17:57:55Z</cp:lastPrinted>
  <dcterms:created xsi:type="dcterms:W3CDTF">2012-10-08T12:57:29Z</dcterms:created>
  <dcterms:modified xsi:type="dcterms:W3CDTF">2013-11-07T11:45:23Z</dcterms:modified>
</cp:coreProperties>
</file>